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228"/>
  <workbookPr showInkAnnotation="0" autoCompressPictures="0"/>
  <mc:AlternateContent xmlns:mc="http://schemas.openxmlformats.org/markup-compatibility/2006">
    <mc:Choice Requires="x15">
      <x15ac:absPath xmlns:x15ac="http://schemas.microsoft.com/office/spreadsheetml/2010/11/ac" url="C:\Users\Francisco Javier\Desktop\"/>
    </mc:Choice>
  </mc:AlternateContent>
  <xr:revisionPtr revIDLastSave="0" documentId="8_{E1A07899-C176-4F3A-94B1-62D01FFD5E4F}" xr6:coauthVersionLast="34" xr6:coauthVersionMax="34" xr10:uidLastSave="{00000000-0000-0000-0000-000000000000}"/>
  <bookViews>
    <workbookView xWindow="0" yWindow="465" windowWidth="25605" windowHeight="14535" tabRatio="921" xr2:uid="{00000000-000D-0000-FFFF-FFFF00000000}"/>
  </bookViews>
  <sheets>
    <sheet name="Acciones contrato" sheetId="20" r:id="rId1"/>
    <sheet name="Objetivos a 15 de julio" sheetId="21" r:id="rId2"/>
    <sheet name="Junio 2018" sheetId="19" r:id="rId3"/>
    <sheet name="Cuadro Junio 2018" sheetId="18" r:id="rId4"/>
    <sheet name="Abril 2018" sheetId="16" r:id="rId5"/>
    <sheet name="Hoja3" sheetId="17" r:id="rId6"/>
    <sheet name="Cuadro Abril 2018" sheetId="15" r:id="rId7"/>
    <sheet name="Marzo 2018" sheetId="8" r:id="rId8"/>
    <sheet name="Cuadro Marzo 2018" sheetId="14" r:id="rId9"/>
    <sheet name="Febrero 2018" sheetId="9" r:id="rId10"/>
    <sheet name="Cuadro Febrero 2018" sheetId="11" r:id="rId11"/>
    <sheet name="Objetivos ENE y FEB" sheetId="12" r:id="rId12"/>
    <sheet name="Enero 2018" sheetId="4" r:id="rId13"/>
    <sheet name="Cuadro Enero 2018" sheetId="3" r:id="rId14"/>
    <sheet name="Updates LNK Enero 2018" sheetId="5" r:id="rId15"/>
    <sheet name="Diciembre 2017" sheetId="1" r:id="rId16"/>
    <sheet name="Cuadro Diciembre 2017" sheetId="2" r:id="rId17"/>
    <sheet name="Noviembre 2017" sheetId="6" r:id="rId18"/>
    <sheet name="Octubre 2017" sheetId="7" r:id="rId19"/>
  </sheets>
  <externalReferences>
    <externalReference r:id="rId20"/>
  </externalReference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G12" i="21" l="1"/>
  <c r="F12" i="21"/>
  <c r="F11" i="21"/>
  <c r="G8" i="21"/>
  <c r="F8" i="21"/>
  <c r="F22" i="20"/>
  <c r="E22" i="20"/>
  <c r="E17" i="21"/>
  <c r="E16" i="21"/>
  <c r="D14" i="21"/>
  <c r="E13" i="21"/>
  <c r="E5" i="21"/>
  <c r="E12" i="21"/>
  <c r="E18" i="21"/>
  <c r="E15" i="21"/>
  <c r="E14" i="21"/>
  <c r="E11" i="21"/>
  <c r="E10" i="21"/>
  <c r="E9" i="21"/>
  <c r="E8" i="21"/>
  <c r="E4" i="21"/>
  <c r="E3" i="21"/>
  <c r="I10" i="18" l="1"/>
  <c r="G10" i="18"/>
  <c r="E10" i="18"/>
  <c r="C10" i="18"/>
  <c r="D8" i="18"/>
  <c r="H10" i="18"/>
  <c r="L8" i="18"/>
  <c r="H8" i="18"/>
  <c r="C8" i="18"/>
  <c r="J7" i="18"/>
  <c r="H7" i="18"/>
  <c r="F7" i="18"/>
  <c r="G7" i="18"/>
  <c r="E7" i="18"/>
  <c r="H5" i="18"/>
  <c r="F5" i="18"/>
  <c r="D5" i="18"/>
  <c r="D68" i="19"/>
  <c r="E68" i="19"/>
  <c r="F68" i="19"/>
  <c r="C68" i="19"/>
  <c r="F67" i="19"/>
  <c r="E67" i="19"/>
  <c r="F63" i="19"/>
  <c r="E63" i="19"/>
  <c r="F58" i="19"/>
  <c r="E58" i="19"/>
  <c r="K11" i="18"/>
  <c r="J11" i="18"/>
  <c r="F11" i="18"/>
  <c r="B11" i="18"/>
  <c r="I9" i="18"/>
  <c r="G9" i="18"/>
  <c r="C9" i="18"/>
  <c r="I8" i="18"/>
  <c r="G8" i="18"/>
  <c r="E8" i="18"/>
  <c r="L7" i="18"/>
  <c r="I7" i="18"/>
  <c r="C7" i="18"/>
  <c r="I5" i="18"/>
  <c r="G5" i="18"/>
  <c r="D11" i="18"/>
  <c r="C5" i="18"/>
  <c r="H11" i="18" l="1"/>
  <c r="E5" i="18"/>
  <c r="K11" i="15"/>
  <c r="J11" i="15"/>
  <c r="I10" i="15"/>
  <c r="C10" i="15"/>
  <c r="E10" i="15"/>
  <c r="L9" i="15"/>
  <c r="I9" i="15"/>
  <c r="G9" i="15"/>
  <c r="E9" i="15"/>
  <c r="C9" i="15"/>
  <c r="I8" i="15"/>
  <c r="G8" i="15"/>
  <c r="E13" i="17"/>
  <c r="E8" i="15"/>
  <c r="D13" i="17"/>
  <c r="L8" i="15"/>
  <c r="L7" i="15"/>
  <c r="C8" i="15"/>
  <c r="M7" i="15"/>
  <c r="I7" i="15"/>
  <c r="E39" i="16"/>
  <c r="G7" i="15"/>
  <c r="E7" i="15"/>
  <c r="C7" i="15"/>
  <c r="E37" i="16"/>
  <c r="E43" i="16" s="1"/>
  <c r="D37" i="16"/>
  <c r="F5" i="15"/>
  <c r="G5" i="15" s="1"/>
  <c r="C37" i="16"/>
  <c r="D5" i="15"/>
  <c r="E5" i="15"/>
  <c r="C5" i="15"/>
  <c r="F37" i="16"/>
  <c r="F11" i="15"/>
  <c r="D11" i="15"/>
  <c r="B11" i="15"/>
  <c r="K11" i="14"/>
  <c r="J11" i="14"/>
  <c r="G10" i="14"/>
  <c r="E10" i="14"/>
  <c r="C10" i="14"/>
  <c r="I9" i="14"/>
  <c r="L7" i="14"/>
  <c r="G9" i="14"/>
  <c r="E9" i="14"/>
  <c r="C9" i="14"/>
  <c r="I8" i="14"/>
  <c r="E55" i="8"/>
  <c r="G8" i="14"/>
  <c r="H53" i="8"/>
  <c r="E53" i="8"/>
  <c r="D53" i="8"/>
  <c r="E54" i="8" s="1"/>
  <c r="E56" i="8" s="1"/>
  <c r="E8" i="14"/>
  <c r="C8" i="14"/>
  <c r="E7" i="8"/>
  <c r="E32" i="8"/>
  <c r="E60" i="8" s="1"/>
  <c r="D7" i="8"/>
  <c r="D32" i="8"/>
  <c r="F5" i="14" s="1"/>
  <c r="G5" i="14" s="1"/>
  <c r="E34" i="8"/>
  <c r="G7" i="14"/>
  <c r="C7" i="14"/>
  <c r="E7" i="14"/>
  <c r="E5" i="14"/>
  <c r="C5" i="14"/>
  <c r="F11" i="14"/>
  <c r="D11" i="14"/>
  <c r="B11" i="14"/>
  <c r="I10" i="14"/>
  <c r="F7" i="8"/>
  <c r="F32" i="8"/>
  <c r="C7" i="8"/>
  <c r="C32" i="8" s="1"/>
  <c r="D18" i="12"/>
  <c r="E18" i="12"/>
  <c r="E17" i="12"/>
  <c r="E16" i="12"/>
  <c r="D15" i="12"/>
  <c r="E15" i="12"/>
  <c r="D14" i="12"/>
  <c r="E14" i="12" s="1"/>
  <c r="E13" i="12"/>
  <c r="E12" i="12"/>
  <c r="D11" i="12"/>
  <c r="E11" i="12" s="1"/>
  <c r="D10" i="12"/>
  <c r="E10" i="12"/>
  <c r="E9" i="12"/>
  <c r="D9" i="12"/>
  <c r="E8" i="12"/>
  <c r="E5" i="12"/>
  <c r="D4" i="12"/>
  <c r="E4" i="12" s="1"/>
  <c r="D3" i="12"/>
  <c r="E3" i="12"/>
  <c r="H5" i="11"/>
  <c r="H11" i="11" s="1"/>
  <c r="F11" i="11"/>
  <c r="D5" i="11"/>
  <c r="E5" i="11" s="1"/>
  <c r="D11" i="11"/>
  <c r="B11" i="11"/>
  <c r="I10" i="11"/>
  <c r="G10" i="11"/>
  <c r="E10" i="11"/>
  <c r="C10" i="11"/>
  <c r="I9" i="11"/>
  <c r="G9" i="11"/>
  <c r="E9" i="11"/>
  <c r="C9" i="11"/>
  <c r="I8" i="11"/>
  <c r="G8" i="11"/>
  <c r="E8" i="11"/>
  <c r="I7" i="11"/>
  <c r="G7" i="11"/>
  <c r="F5" i="11"/>
  <c r="G5" i="11" s="1"/>
  <c r="C5" i="11"/>
  <c r="F38" i="7"/>
  <c r="F44" i="7" s="1"/>
  <c r="F46" i="7" s="1"/>
  <c r="E38" i="7"/>
  <c r="F45" i="7"/>
  <c r="E41" i="7"/>
  <c r="F41" i="7"/>
  <c r="G38" i="7"/>
  <c r="D38" i="7"/>
  <c r="G36" i="7"/>
  <c r="G37" i="7"/>
  <c r="F36" i="7"/>
  <c r="E36" i="7"/>
  <c r="E37" i="7"/>
  <c r="D36" i="7"/>
  <c r="D37" i="7"/>
  <c r="I5" i="3"/>
  <c r="G5" i="3"/>
  <c r="E5" i="3"/>
  <c r="C5" i="3"/>
  <c r="F10" i="4"/>
  <c r="E10" i="4"/>
  <c r="D10" i="4"/>
  <c r="C10" i="4"/>
  <c r="C18" i="4" s="1"/>
  <c r="F3" i="4"/>
  <c r="F18" i="4" s="1"/>
  <c r="E3" i="4"/>
  <c r="B11" i="3"/>
  <c r="I10" i="3"/>
  <c r="E10" i="3"/>
  <c r="C10" i="3"/>
  <c r="I9" i="3"/>
  <c r="C9" i="3"/>
  <c r="G9" i="3"/>
  <c r="E9" i="3"/>
  <c r="I8" i="3"/>
  <c r="G8" i="3"/>
  <c r="G29" i="5"/>
  <c r="E8" i="3"/>
  <c r="D29" i="5"/>
  <c r="C8" i="3"/>
  <c r="I7" i="3"/>
  <c r="E18" i="4"/>
  <c r="D18" i="4"/>
  <c r="E20" i="4"/>
  <c r="G7" i="3"/>
  <c r="E7" i="3"/>
  <c r="C7" i="3"/>
  <c r="H11" i="3"/>
  <c r="F11" i="3"/>
  <c r="D11" i="3"/>
  <c r="H11" i="2"/>
  <c r="F11" i="2"/>
  <c r="D11" i="2"/>
  <c r="B11" i="2"/>
  <c r="I9" i="2"/>
  <c r="I10" i="2"/>
  <c r="E10" i="2"/>
  <c r="C10" i="2"/>
  <c r="C9" i="2"/>
  <c r="I8" i="2"/>
  <c r="G8" i="2"/>
  <c r="E8" i="2"/>
  <c r="C8" i="2"/>
  <c r="I7" i="2"/>
  <c r="G7" i="2"/>
  <c r="E7" i="2"/>
  <c r="C7" i="2"/>
  <c r="I5" i="2"/>
  <c r="G5" i="2"/>
  <c r="E5" i="2"/>
  <c r="C5" i="2"/>
  <c r="E22" i="1"/>
  <c r="D20" i="1"/>
  <c r="E20" i="1"/>
  <c r="E21" i="1" s="1"/>
  <c r="E23" i="1" s="1"/>
  <c r="C20" i="1"/>
  <c r="E3" i="1"/>
  <c r="F3" i="1"/>
  <c r="F20" i="1" s="1"/>
  <c r="E40" i="4" l="1"/>
  <c r="E41" i="4" s="1"/>
  <c r="E42" i="4" s="1"/>
  <c r="E42" i="1"/>
  <c r="E43" i="1" s="1"/>
  <c r="E44" i="1" s="1"/>
  <c r="E58" i="8"/>
  <c r="E45" i="16"/>
  <c r="F40" i="7"/>
  <c r="F42" i="7" s="1"/>
  <c r="I5" i="11"/>
  <c r="H5" i="14"/>
  <c r="E33" i="8"/>
  <c r="E35" i="8" s="1"/>
  <c r="H7" i="14" s="1"/>
  <c r="I7" i="14" s="1"/>
  <c r="E38" i="16"/>
  <c r="E40" i="16" s="1"/>
  <c r="E19" i="4"/>
  <c r="E21" i="4" s="1"/>
  <c r="F37" i="7"/>
  <c r="E41" i="16"/>
  <c r="H5" i="15"/>
  <c r="H11" i="14" l="1"/>
  <c r="I5" i="14"/>
  <c r="H11" i="15"/>
  <c r="I5"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A9" authorId="0" shapeId="0" xr:uid="{79702B7B-BC2C-A340-B06D-21A264C8FDCF}">
      <text>
        <r>
          <rPr>
            <b/>
            <sz val="9"/>
            <color indexed="81"/>
            <rFont val="Calibri"/>
            <family val="2"/>
            <charset val="134"/>
          </rPr>
          <t>-- --:</t>
        </r>
        <r>
          <rPr>
            <sz val="9"/>
            <color indexed="81"/>
            <rFont val="Calibri"/>
            <family val="2"/>
            <charset val="134"/>
          </rPr>
          <t xml:space="preserve">
Se han subido dos vídeos en privado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A9" authorId="0" shapeId="0" xr:uid="{00000000-0006-0000-0200-000001000000}">
      <text>
        <r>
          <rPr>
            <b/>
            <sz val="9"/>
            <color indexed="81"/>
            <rFont val="Calibri"/>
            <family val="2"/>
            <charset val="134"/>
          </rPr>
          <t>-- --:</t>
        </r>
        <r>
          <rPr>
            <sz val="9"/>
            <color indexed="81"/>
            <rFont val="Calibri"/>
            <family val="2"/>
            <charset val="134"/>
          </rPr>
          <t xml:space="preserve">
Se han subido dos vídeos en privado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
  </authors>
  <commentList>
    <comment ref="A9" authorId="0" shapeId="0" xr:uid="{00000000-0006-0000-0400-000001000000}">
      <text>
        <r>
          <rPr>
            <b/>
            <sz val="9"/>
            <color indexed="81"/>
            <rFont val="Calibri"/>
            <family val="2"/>
            <charset val="134"/>
          </rPr>
          <t>-- --:</t>
        </r>
        <r>
          <rPr>
            <sz val="9"/>
            <color indexed="81"/>
            <rFont val="Calibri"/>
            <family val="2"/>
            <charset val="134"/>
          </rPr>
          <t xml:space="preserve">
Se han subido dos vídeos en privado
</t>
        </r>
      </text>
    </comment>
  </commentList>
</comments>
</file>

<file path=xl/sharedStrings.xml><?xml version="1.0" encoding="utf-8"?>
<sst xmlns="http://schemas.openxmlformats.org/spreadsheetml/2006/main" count="1218" uniqueCount="628">
  <si>
    <t>MEDIO</t>
  </si>
  <si>
    <t>USUARIOS ÚNICOS</t>
  </si>
  <si>
    <t>PÁGINAS VISTAS</t>
  </si>
  <si>
    <t>VALOR ECONÓMICO CPM</t>
  </si>
  <si>
    <t>VALOR PUBLICITARIO</t>
  </si>
  <si>
    <t>El Economista</t>
  </si>
  <si>
    <t>Europa Press</t>
  </si>
  <si>
    <t>Bolsamanía</t>
  </si>
  <si>
    <t>Diario Siglo XXI</t>
  </si>
  <si>
    <t>Diario Álava</t>
  </si>
  <si>
    <t>ARTÍCULO</t>
  </si>
  <si>
    <t>La inversión sostenible en España supera los 185.000 millones en 2016, un 17% más que 2015, según Observatorio de ISR</t>
  </si>
  <si>
    <t>spain.shafaqna.com</t>
  </si>
  <si>
    <t>Diario Ya</t>
  </si>
  <si>
    <t>La inversión sostenible en España sobrepasa los 185.000 millones</t>
  </si>
  <si>
    <t>La Vanguardia</t>
  </si>
  <si>
    <t>La ISR en España crece un 17% durante 2016</t>
  </si>
  <si>
    <t>Corresponsables</t>
  </si>
  <si>
    <t>La inversión sostenible en España alcanza un tercio de la inversión institucional</t>
  </si>
  <si>
    <t>ComunicaRSE</t>
  </si>
  <si>
    <t>ASGECO apuesta por la Educación Financiera global de la ciudadanía</t>
  </si>
  <si>
    <t>Ibercampus.es</t>
  </si>
  <si>
    <t>"Los fondos de inversión extranjeros con criterios éticos y sostenibles han creado tendencia en materia de ISR"</t>
  </si>
  <si>
    <t>La tracción de los millennials en las inversiones de impacto</t>
  </si>
  <si>
    <t>Diario Responsable</t>
  </si>
  <si>
    <t>Diario Responsable ficha a Almudena Díez como directora editorial</t>
  </si>
  <si>
    <t>Doce ideas</t>
  </si>
  <si>
    <t>El Economista Inversión (7 menciones)</t>
  </si>
  <si>
    <t xml:space="preserve">Bonos verdes: de excepción a boom </t>
  </si>
  <si>
    <t>Cinco Días (digital)</t>
  </si>
  <si>
    <t>La Razón  (papel)</t>
  </si>
  <si>
    <t>El Economista (papel)</t>
  </si>
  <si>
    <t>Cinco Días (papel)</t>
  </si>
  <si>
    <t>Impactar al invertir: cuando la rentabilidad es lo de menos</t>
  </si>
  <si>
    <t>Funds Society</t>
  </si>
  <si>
    <t>Impressions</t>
  </si>
  <si>
    <t>Clicks</t>
  </si>
  <si>
    <t>CTR</t>
  </si>
  <si>
    <t>Social Actions</t>
  </si>
  <si>
    <t>Engagement</t>
  </si>
  <si>
    <t>-</t>
  </si>
  <si>
    <t>CANAL</t>
  </si>
  <si>
    <t>ACTIVIDAD</t>
  </si>
  <si>
    <t>%</t>
  </si>
  <si>
    <t>VALOR COM.</t>
  </si>
  <si>
    <t>SPAINSIF - DICIEMBRE DE 2017</t>
  </si>
  <si>
    <t>Web</t>
  </si>
  <si>
    <t>SESIONES</t>
  </si>
  <si>
    <t>REBOTE</t>
  </si>
  <si>
    <t>PÁGS. VISTAS</t>
  </si>
  <si>
    <t>Medios</t>
  </si>
  <si>
    <t>NOTICIAS</t>
  </si>
  <si>
    <t>ENGAGEMENT</t>
  </si>
  <si>
    <t>Twitter</t>
  </si>
  <si>
    <t>Linkedin</t>
  </si>
  <si>
    <t>Youtube</t>
  </si>
  <si>
    <t>Slideshare</t>
  </si>
  <si>
    <t>USUARIOS</t>
  </si>
  <si>
    <t>AUDIENCIA</t>
  </si>
  <si>
    <t>IMPRESIONES</t>
  </si>
  <si>
    <t>TOTAL</t>
  </si>
  <si>
    <t>SPAINSIF - ENERO DE 2018</t>
  </si>
  <si>
    <t>Update name</t>
  </si>
  <si>
    <t>Date</t>
  </si>
  <si>
    <t>Follows Acquired</t>
  </si>
  <si>
    <t>All followers</t>
  </si>
  <si>
    <t>0.61%</t>
  </si>
  <si>
    <t>Santander Sostenible 1 y 2,primer lanzamiento de fondos de Santander AM en 2018</t>
  </si>
  <si>
    <t>1/31/2018</t>
  </si>
  <si>
    <t>1.09%</t>
  </si>
  <si>
    <t>2.19%</t>
  </si>
  <si>
    <t>Desayuno de trabajo: Machinelearning and ESG</t>
  </si>
  <si>
    <t>1/29/2018</t>
  </si>
  <si>
    <t>1.23%</t>
  </si>
  <si>
    <t>Por qué hay grandesinversores que huyen del petróleo</t>
  </si>
  <si>
    <t>1/24/2018</t>
  </si>
  <si>
    <t>1.8%</t>
  </si>
  <si>
    <t>3.6%</t>
  </si>
  <si>
    <t>Análisis y estudios 2017</t>
  </si>
  <si>
    <t>1/22/2018</t>
  </si>
  <si>
    <t>1.83%</t>
  </si>
  <si>
    <t>En qué invierte la Iglesia</t>
  </si>
  <si>
    <t>1/19/2018</t>
  </si>
  <si>
    <t>1.04%</t>
  </si>
  <si>
    <t>1.38%</t>
  </si>
  <si>
    <t>2018 ESG Trends to Watch -MSCI</t>
  </si>
  <si>
    <t>1/18/2018</t>
  </si>
  <si>
    <t>0.77%</t>
  </si>
  <si>
    <t>1/17/2018</t>
  </si>
  <si>
    <t>0.56%</t>
  </si>
  <si>
    <t>0.74%</t>
  </si>
  <si>
    <t>Envejecimiento de lapoblación: cómo transformar una gran tendencia demográfica en una oportunidad de inversión</t>
  </si>
  <si>
    <t>1/16/2018</t>
  </si>
  <si>
    <t>3.02%</t>
  </si>
  <si>
    <t>4.74%</t>
  </si>
  <si>
    <t>Compartimos el interesanteartículo "Perspectivas 2018: Los multiactivos imprescindibles de las principales gestoras españolas para el próximo año", que recoge las impresiones de SEBASTIAN REDONDO, de Bankia Fondos (quien destaca el impulso que van a dar este año al fondo de impacto Bankia Futuro Sostenible y recuerda nuestras previsiones respecto al crecimiento esperado de un 30% en estos productos de inversión sostenible de impacto); de Jose Manuel Perez-Jofre Santesmases, de Santander AM; de Eduardo García Hidalgo, CFA, de BBVA AM; de José Antonio Pérez Roger, de Sabadell AM; de OSCAR DEL DIEGO EREZA, de Ibercaja Gestión; de Javier Egaña, de Kutxabank Gestión; de Rafael Hurtado, de Allianz Popular AM; de Miguel Artola, de Bankinter Gestión de Activos, y de Esther Revilla Montes, CAIA, de UNIGEST. https://lnkd.in/gNFsWFH</t>
  </si>
  <si>
    <t>3.95%</t>
  </si>
  <si>
    <t>Las finanzas éticasconstituyen ya el 5% del PIB europeo</t>
  </si>
  <si>
    <t>0.96%</t>
  </si>
  <si>
    <t>A partir de este mes, losplanes de pensiones de empleo comienzan a trabajar en la DEC (documento estadístico y contable) de 2017 para la Dirección General de Seguros y Planes de Pensiones. En Spainsif cuentas con una ficha voluntaria para cumplir con lo referente a información no financiera del artículo 69 del reglamento de planes de pensiones: https://lnkd.in/dxf8Fyf</t>
  </si>
  <si>
    <t>0.3%</t>
  </si>
  <si>
    <t>0.91%</t>
  </si>
  <si>
    <t>Factsheet_DE000SLA3KM1.pdf</t>
  </si>
  <si>
    <t>0.54%</t>
  </si>
  <si>
    <t>DEC 2018</t>
  </si>
  <si>
    <t>El Economista Inversión (3 menciones) - 3/1</t>
  </si>
  <si>
    <t>Inversión Socialmente Responsable - 19/1</t>
  </si>
  <si>
    <t>Compromiso RSE</t>
  </si>
  <si>
    <t>El Big Data se instala en las empresas y mejora la medición de su sostenibilidad - 31/1</t>
  </si>
  <si>
    <t>Big Data para analizar oportunidades y riesgos ASG en la toma de decisiones - 31/1</t>
  </si>
  <si>
    <t>ISR: el aprendizaje automático bate al MSCI - 31/1</t>
  </si>
  <si>
    <t>Señales ESG, del Big Data a la gestión de riesgos ASG - 30/1</t>
  </si>
  <si>
    <t>Cultura RSC</t>
  </si>
  <si>
    <t>Diario Abierto</t>
  </si>
  <si>
    <t>Comprobado: La inversión responsable es rentable a largo plazo - 26/1</t>
  </si>
  <si>
    <t>La ISR como palanca para que el mercado financiero aborde los retos de la Sostenibilidad - 23/1</t>
  </si>
  <si>
    <t>El Independiente</t>
  </si>
  <si>
    <t>En qué invierte la Iglesia - 14/1</t>
  </si>
  <si>
    <t>Desayuno "Machine learning and ESG" - 11/1</t>
  </si>
  <si>
    <t>Funds People (papel)</t>
  </si>
  <si>
    <t>Ahorro seguro</t>
  </si>
  <si>
    <t>Funds People</t>
  </si>
  <si>
    <t>Perspectivas 2018: Los multiactivos imprescindibles de las principales gestoras españolas para el próximo año - 10/1</t>
  </si>
  <si>
    <t>RTVE</t>
  </si>
  <si>
    <t>Iniciativas que han protagonizado esta temporada (II) - 5/1</t>
  </si>
  <si>
    <t>La Razón  (digital)</t>
  </si>
  <si>
    <t xml:space="preserve">Doce ideas para combatir el cambio climático desde casa en 2018 - 1/1 </t>
  </si>
  <si>
    <t>Futuro a Fondo</t>
  </si>
  <si>
    <t>La inversión global necesita incrementarse un 60% para ser sostenible</t>
  </si>
  <si>
    <t xml:space="preserve"> </t>
  </si>
  <si>
    <t>La inversión sostenible ya supone un tercio del total de la inversión institucional - 2/1</t>
  </si>
  <si>
    <t>La inversión sostenible ya supone un tercio de la inversión institucional en España - 3/1</t>
  </si>
  <si>
    <t>Compromiso Empresarial</t>
  </si>
  <si>
    <t>Agenda - Jornada Machine learning and ESG organizada por Spainsif Ossiam y Sustainalytics - 13/1, 19/1, 25/1 y 27/1</t>
  </si>
  <si>
    <t>FECHA</t>
  </si>
  <si>
    <t>TEMÁTICA</t>
  </si>
  <si>
    <t>USUARIOS ÚNICOS / DIFUSIÓN</t>
  </si>
  <si>
    <t>PÁGINAS VISTAS/AUDIENCIA</t>
  </si>
  <si>
    <t>La innovación tiene que ir de la mano de la RSE</t>
  </si>
  <si>
    <t>Confilegal</t>
  </si>
  <si>
    <t>El consumidor, clave en una sociedad más comprometida y colaborativa</t>
  </si>
  <si>
    <t>Finanzas.com</t>
  </si>
  <si>
    <t>Spainsif destaca la importancia de la fiscalidad para la inversión sostenible</t>
  </si>
  <si>
    <t>EFE Empresas</t>
  </si>
  <si>
    <t xml:space="preserve"> Spainsif destaca la importancia de la fiscalidad responsable</t>
  </si>
  <si>
    <t>globalnews10.com</t>
  </si>
  <si>
    <t>La importancia de la fiscalidad para la inversión sostenible</t>
  </si>
  <si>
    <t>Expansión (papel)</t>
  </si>
  <si>
    <t>Seis fondos verdes escalan más del 15% en lo que va de año</t>
  </si>
  <si>
    <t xml:space="preserve">Spainsif presenta los estudios ‘Retos y oportunidades en banca sostenible’ y ‘La Fiscalidad Como Criterio de ISR’. </t>
  </si>
  <si>
    <t>Cinco Días (papel-suplemento)</t>
  </si>
  <si>
    <t xml:space="preserve">Invertir para ganar no solo dinero </t>
  </si>
  <si>
    <t>Directivos y Empresas (papel)</t>
  </si>
  <si>
    <t xml:space="preserve">El Grupo Cooperativo Cajamar contribuye ai PIB españoi con 1.17 millones de euros </t>
  </si>
  <si>
    <t>Forbes (papel)</t>
  </si>
  <si>
    <t>Invertir para mejorar el mundo no sólo es posible, también es rentable</t>
  </si>
  <si>
    <t xml:space="preserve">diarioabierto.es </t>
  </si>
  <si>
    <t>Agenda: La Opep, la jubilación, el rescate a la banca, las hipotecas, la Central de Balances, entre las claves de la semana</t>
  </si>
  <si>
    <t>Agora - Inteligencia Colectiva para la Sostenibilidad</t>
  </si>
  <si>
    <t>Spainsif- Ciclo de Conferencias de Otoño 23 Noviembre</t>
  </si>
  <si>
    <t>Agenda: El Black Friday, el BCE, la Fed, el Tesoro, el Foro Latibex, los seguros, entre las claves de la semana</t>
  </si>
  <si>
    <t>Agenda: Las pensiones, el CETA, el agua, la fiscalidad, la innovación, entre las claves de la semana</t>
  </si>
  <si>
    <t>Crónica Norte</t>
  </si>
  <si>
    <t>3.198 nuevos autónomos en octubre, la mayor subida de los últimos diez años</t>
  </si>
  <si>
    <t>diarioabierto.es</t>
  </si>
  <si>
    <t>Agenda: El Tesoro, la automoción, el rescate a la banca, entre las claves de la semana</t>
  </si>
  <si>
    <t>cronica</t>
  </si>
  <si>
    <t>El mes de octubre 'anima' a 3.198 nuevos autónomos en la región, la mayor subida de los últimos diez años</t>
  </si>
  <si>
    <t>La Quincena</t>
  </si>
  <si>
    <t>3.198 nuevos autónomos en octubre, la mayor subida de los últimos diez años en la Comunidad</t>
  </si>
  <si>
    <t>diariolalupa.es</t>
  </si>
  <si>
    <t>La Comunidad suma 3.198 nuevos autónomos en octubre, la mayor subida de los últimos diez años</t>
  </si>
  <si>
    <t>Madrid es noticia</t>
  </si>
  <si>
    <t>MADRID.-La Comunidad celebra la II Jornada de Financiación para Autónomos, Emprendedores y Entidades de la Economía Social</t>
  </si>
  <si>
    <t>portal-local</t>
  </si>
  <si>
    <t>Lawyer Press</t>
  </si>
  <si>
    <t>I Congreso De Innovación, RSC y Consumo 2017</t>
  </si>
  <si>
    <t>Agenda: El IPC, el Tesoro, Venezuela, la automoción, la financiación de los partidos, el rescate a la banca, Sacyr, ACS, entre las claves de la semana</t>
  </si>
  <si>
    <t>Congreso "Innovación, RSC y Consumo 2017"</t>
  </si>
  <si>
    <t>SUMA Publicaciones (impacto acciones COM)</t>
  </si>
  <si>
    <t>SUMA Publicaciones (resto)</t>
  </si>
  <si>
    <t xml:space="preserve">TOTAL </t>
  </si>
  <si>
    <t>data octubre para correlación</t>
  </si>
  <si>
    <t>Cinco Días</t>
  </si>
  <si>
    <t>En busca de una inversión sostenible</t>
  </si>
  <si>
    <t>CCOO Federación de Servicios</t>
  </si>
  <si>
    <t>Inversión socialmente responsable en los fondos de pensiones de empleo</t>
  </si>
  <si>
    <t>Qué fondos</t>
  </si>
  <si>
    <t>Ecogestiona Radio</t>
  </si>
  <si>
    <t>La economía verde y su financiación</t>
  </si>
  <si>
    <t>Triodos Bank nombra a Cristina Martínez Salas responsable de Productos de Inversión y Ahorro y lanza plan de pensiones</t>
  </si>
  <si>
    <t>Agora</t>
  </si>
  <si>
    <t>Opciones de financiación Sostenible- 4 octubre Spainsif</t>
  </si>
  <si>
    <t>El sector financiero se vuelca en la formación de sus clientes</t>
  </si>
  <si>
    <t>EFPA España lleva la educación financiera a más de 1.300 profesionales mientras el Banco de España y la CNMV renuevan su plan</t>
  </si>
  <si>
    <t>Economía de Hoy</t>
  </si>
  <si>
    <t>Banco de España y CNMV renuevan el Plan de Educación Financiera (2018-2021)</t>
  </si>
  <si>
    <t>Icalnews</t>
  </si>
  <si>
    <t>Seguros RGA apuesta por la Inversión Socialmente Responsable para todos sus planes de pensiones</t>
  </si>
  <si>
    <t>Noticias Castilla y León</t>
  </si>
  <si>
    <t>El Día de Zamora</t>
  </si>
  <si>
    <t>La Nueva Crónica</t>
  </si>
  <si>
    <t>ADN Seguros</t>
  </si>
  <si>
    <t>Diario de León</t>
  </si>
  <si>
    <t>La aseguradora de Caja Rural apuesta por la inversión ética</t>
  </si>
  <si>
    <t>Diario de Salamanca</t>
  </si>
  <si>
    <t>Salamanca 24 horas</t>
  </si>
  <si>
    <t>blogsegurostv.es</t>
  </si>
  <si>
    <t>Corresponsables.com</t>
  </si>
  <si>
    <t>La buena educación (financiera)</t>
  </si>
  <si>
    <t>Diarioabierto.es</t>
  </si>
  <si>
    <t>Cataluña, el IPC, la Fed, el FMI y el Banco Mundial, entre las claves de la semana</t>
  </si>
  <si>
    <t xml:space="preserve"> Creating change: V edición de CSR Spain 2017</t>
  </si>
  <si>
    <t>Cataluña, China, Japón, el Tesoro, la morosidad, Enagas, entre las claves de la semana</t>
  </si>
  <si>
    <t>CulturaRSC</t>
  </si>
  <si>
    <t>La ISR, clave en los ODS, sigue encallada en España</t>
  </si>
  <si>
    <t>spain.shafaqna.com [FR]</t>
  </si>
  <si>
    <t>La inversión global necesita incrementarse un 60% para ser sostenible, según Spainsif</t>
  </si>
  <si>
    <t>El reto de involucrar a la ciudadanía en la agenda de la inversión responsable</t>
  </si>
  <si>
    <t>4-traders</t>
  </si>
  <si>
    <t>MSCI : ESG Fund Metrics Launches on Leading Market Data Platforms [FR]</t>
  </si>
  <si>
    <t>Deia</t>
  </si>
  <si>
    <t>Planes de Pensiones Responsables (Suplemento)</t>
  </si>
  <si>
    <t>Expansión</t>
  </si>
  <si>
    <t>La sostenibilidad, pilar indiscutible para la empresa del siglo XXI</t>
  </si>
  <si>
    <t>Expansión (Suplemento)</t>
  </si>
  <si>
    <t>Brillo de los productos de renta variable</t>
  </si>
  <si>
    <t>Ahorro verde: una etiqueta ecológica para las finanzas</t>
  </si>
  <si>
    <t>La Vanguardia (Dinero)</t>
  </si>
  <si>
    <t>MBBVA Poner al alcance de todos</t>
  </si>
  <si>
    <t>Caja de Ingenieros: Cronología</t>
  </si>
  <si>
    <t>Revista Mundo Empresarial</t>
  </si>
  <si>
    <t>Invertir en el poder gris</t>
  </si>
  <si>
    <t>Contribuir a la financiación de proyectos sostenibles rentabilizando la inversión, con fondos de Bonos Verdes</t>
  </si>
  <si>
    <t>Créditos sostenibles, la vía hacia la financiación 'verde' (7)</t>
  </si>
  <si>
    <t>La Provincia, La Opinión de Tenerife, Levante TV, La Opinión de Zaragoza, Diario de Mallorca, Superdeporte, La Opinión de la Coruña</t>
  </si>
  <si>
    <t>Seeking Environmental and Social innovation</t>
  </si>
  <si>
    <t>Mercados / Según Eurosif Las finanzas sostenibles tardarán décadas en ser el estándar de inversión en Europa</t>
  </si>
  <si>
    <t>Fund Society</t>
  </si>
  <si>
    <t>El compromiso del cliente como palanca para impulsar el consumo responsable</t>
  </si>
  <si>
    <t>Desayuno Spainsif: Seeking Environmental and Social innovation to get higher Performance in Equities: MIROVA expertise</t>
  </si>
  <si>
    <t>Lanzan nueva versión del Código Europeo de Transparencia</t>
  </si>
  <si>
    <t>Agenda / Claves de la semana (3)</t>
  </si>
  <si>
    <t>Diarioabierto</t>
  </si>
  <si>
    <t>Los nuevos fondos españoles Blockbuster Funds People de 2018</t>
  </si>
  <si>
    <t>La Agenda 2030 del sector privado a examen</t>
  </si>
  <si>
    <t>Pacto Mundial abre una consulta sobre la implantación de la Agenda 2030 en el sector privado empresarial</t>
  </si>
  <si>
    <t>Spainsif explora, de la mano de Mirova, la innovación social y medioambiental en el desempeño de valores de la empresa</t>
  </si>
  <si>
    <t>Madrid es Noticia</t>
  </si>
  <si>
    <t>Innovación social y medioambiental para ganar mayor desempeño en valores</t>
  </si>
  <si>
    <t>Spainsif en busca de la innovación medioambiental</t>
  </si>
  <si>
    <t>Econoticias</t>
  </si>
  <si>
    <t>La primera sicav de ISR ofrece casi un 2% de interés en su primer año</t>
  </si>
  <si>
    <t>Valencia Plaza y Alicante Plaza</t>
  </si>
  <si>
    <t>La Sicav DP Ética Valor Compartido consigue una rentabilidad del 1,95%</t>
  </si>
  <si>
    <t>Economía3</t>
  </si>
  <si>
    <t>DP Ética Valor Compartido, primera SICAV española de Inversión Socialmente Responsable, cumple un año</t>
  </si>
  <si>
    <t>El Asesor Financiero</t>
  </si>
  <si>
    <t>¡Feliz cumpleaños DP Ética Valor Compartido!</t>
  </si>
  <si>
    <t>Innovación social y medioambiental para obtener más rentabilidad en los mercados financieros: la experiencia de Mirova</t>
  </si>
  <si>
    <t>La primera sicav española de ISR cumple un año de vida</t>
  </si>
  <si>
    <t>Funds Markets</t>
  </si>
  <si>
    <t>La primera SICAV española de Inversión Socialmente Responsable consigue una rentabilidad de casi el 2% en su primer año</t>
  </si>
  <si>
    <t>LED it be, cómo el sustituir las bombillas tradicionales puede beneficiar a su cartera de inversión</t>
  </si>
  <si>
    <t>Finect</t>
  </si>
  <si>
    <t>El sector público español ya suma 3.800 millones de deuda ética</t>
  </si>
  <si>
    <t>Público</t>
  </si>
  <si>
    <t>DP Ética Valor Compartido cumple un año promoviendo la ISR</t>
  </si>
  <si>
    <t>Qué son los fondos I S R</t>
  </si>
  <si>
    <t>Inversión y Finanzas</t>
  </si>
  <si>
    <t>La adquisición de estas emisiones ecológicas, cerca del billón de euros</t>
  </si>
  <si>
    <t>La forma más fácil de invertir en bonos verdes</t>
  </si>
  <si>
    <t>Créditos sostenibles, la vía hacia la financiación verde</t>
  </si>
  <si>
    <t xml:space="preserve">Periódicos Grupo ECI (impresas 9 - Digitales 17) </t>
  </si>
  <si>
    <t>Sustainalytics y Ossiam presentan un producto que genera señales de oportunidad y riesgo financiero a través de Big Data</t>
  </si>
  <si>
    <t>Portaldetuciudad.com (Alcudia, Anoia, Aldaia y Alaquas)</t>
  </si>
  <si>
    <t>La gestión de la RSE y el negocio responsable, a debate en las Jornadas Corresponsables</t>
  </si>
  <si>
    <t>Corresponsables (x2)</t>
  </si>
  <si>
    <t>Invertir contra el cambio climático</t>
  </si>
  <si>
    <t>Debemos tener una sociedad civil activa que no dependa sólo del poder político</t>
  </si>
  <si>
    <t>¿Cómo aprovechar el Big Data en la Inversión Socialmente Responsable?</t>
  </si>
  <si>
    <t>Varios expertos proponen ventajas fiscales para fomentar los bonos verdes</t>
  </si>
  <si>
    <t>La Rioja</t>
  </si>
  <si>
    <t>Hoy de Extremadura</t>
  </si>
  <si>
    <t>Diario Sur</t>
  </si>
  <si>
    <t>Investing.com</t>
  </si>
  <si>
    <t>La emisión de bonos verdes se quintuplicará en 2020</t>
  </si>
  <si>
    <t>Los bonos verdes podrían mover hasta 1 billón de dólares en 2020</t>
  </si>
  <si>
    <t>Todo Startups</t>
  </si>
  <si>
    <t>Agenda Desayuno Spainsif-Generali</t>
  </si>
  <si>
    <t>Diario Abierto (x5)</t>
  </si>
  <si>
    <t>Francisco Javier Garayoa (Spainsif): "La ISR funciona"</t>
  </si>
  <si>
    <t>El envejecimiento de la población ofrece oportunidades de inversión sostenible</t>
  </si>
  <si>
    <t>Envejecimiento de la población, una oportunidad de inversión sostenible</t>
  </si>
  <si>
    <t>Spainsif y Generali vinculan el envejecimiento de la población a la inversión sostenible</t>
  </si>
  <si>
    <t>Spainsif y Generali ven en el envejecimiento una oportunidad para la ISR</t>
  </si>
  <si>
    <t>Senda Senior</t>
  </si>
  <si>
    <t>El "grey power", oportunidad para capturar rentabilidad sostenible</t>
  </si>
  <si>
    <t>El envejecimiento y el problema de las pensiones, una oportunidad para la inversión sostenible</t>
  </si>
  <si>
    <t>Cinco días (digital)</t>
  </si>
  <si>
    <t>Responsabilitat Global</t>
  </si>
  <si>
    <t>Agenda Jornadas Corresponsables Barcelona</t>
  </si>
  <si>
    <t>slideshare</t>
  </si>
  <si>
    <t>linkedin</t>
  </si>
  <si>
    <t>La Comisión Europea acaba de publicar el informe final y las recomendaciones del Grupo de Expertos de Alto Nivel sobre financiación sostenible (#HLEG), clave para integrar la sostenibilidad en la política financiera de la UE.  Estas recomendaciones, en cuya implementación trabajará los próximos meses Eurosif - The European Sustainable Investment Forum junto a la European Commission, suponen grandes pasos adelante en la #InversiónSostenible en toda Europa en beneficio de los inversores y la sociedad en general, según el Presidente de Eurosif, Will Oulton FRSA. La directora ejecutiva de Eurosif y miembro del #HLEG, Flavia Micilotta, explica que son fruto de un trabajo arduo y un análisis cuidadoso de la sostenibilidad de las finanzas, lo que concreta la ambición a largo plazo de Eurosif y sus asociados. El informe aborda cuestiones fundamentales para nuestra Misión, al fijar horizontes temporales, deberes y obligaciones y una mejor información material para emisores e inversores; potenciar y conectar a los ciudadanos con la financiación sostenible; así como mejorar el nivel de claridad sobre los productos de ISR y las normas de divulgación para garantizar la transparencia en los riesgos y oportunidades del cambio climático. https://lnkd.in/eyRpnKt</t>
  </si>
  <si>
    <t>0.85%</t>
  </si>
  <si>
    <t>1.46%</t>
  </si>
  <si>
    <t>Opciones de financiación sostenible: educar para el emprendimiento ambiental y social</t>
  </si>
  <si>
    <t>2/26/2018</t>
  </si>
  <si>
    <t>2.78%</t>
  </si>
  <si>
    <t>3.7%</t>
  </si>
  <si>
    <t>Spainsif Institutional Presentation 2018</t>
  </si>
  <si>
    <t>2/24/2018</t>
  </si>
  <si>
    <t>2.01%</t>
  </si>
  <si>
    <t>Presentación de Spainsif 2018</t>
  </si>
  <si>
    <t>2.53%</t>
  </si>
  <si>
    <t>3.8%</t>
  </si>
  <si>
    <t>Eurosif launches Transparency Code 4.0</t>
  </si>
  <si>
    <t>2/21/2018</t>
  </si>
  <si>
    <t>0.6%</t>
  </si>
  <si>
    <t>Webinar: ¿Qué se está cociendo en Europa?</t>
  </si>
  <si>
    <t>2/16/2018</t>
  </si>
  <si>
    <t>1.16%</t>
  </si>
  <si>
    <t>2.02%</t>
  </si>
  <si>
    <t>Compartimos con vosotros este interesante artículo de Inés García-Pintos Balbás sobre las las Recomendaciones del High-Level Expert Group on Sustainable Finance a la Comisión Europea: https://lnkd.in/dn3vYDq</t>
  </si>
  <si>
    <t>2/14/2018</t>
  </si>
  <si>
    <t>3.32%</t>
  </si>
  <si>
    <t>3.63%</t>
  </si>
  <si>
    <t>Video Entrevista: Machine Learning aplicado a la inversión sostenible</t>
  </si>
  <si>
    <t>2/13/2018</t>
  </si>
  <si>
    <t>3.45%</t>
  </si>
  <si>
    <t>4.02%</t>
  </si>
  <si>
    <t>Desayuno de trabajo: Machine learning y ASG</t>
  </si>
  <si>
    <t>2.14%</t>
  </si>
  <si>
    <t>3.56%</t>
  </si>
  <si>
    <t>Feminismo: cómo invertir en la nueva tendencia</t>
  </si>
  <si>
    <t>0.4%</t>
  </si>
  <si>
    <t>1.79%</t>
  </si>
  <si>
    <t xml:space="preserve">Enhorabuena a GI por esa magnífica perspectiva de inversión sostenible que alinea retos demográficos y oportunidades ISR. </t>
  </si>
  <si>
    <t>2/24/18</t>
  </si>
  <si>
    <t>Video de una entrevista dada por Olivier Cassé, gestor principal del Generali Investments Sicav - SRI Ageing Population,</t>
  </si>
  <si>
    <t>2/23/18</t>
  </si>
  <si>
    <t>La Comisión Europea acaba de publicar el informe final y las recomendaciones del Grupo de Expertos de Alto Nivel sobre financiación sostenible (#HLEG)</t>
  </si>
  <si>
    <t>SPAINSIF - FEBRERO DE 2018</t>
  </si>
  <si>
    <t>KPIs COMUNICACIÓN 2018</t>
  </si>
  <si>
    <t xml:space="preserve">Canal </t>
  </si>
  <si>
    <t>KPI</t>
  </si>
  <si>
    <t>Objetivo anual</t>
  </si>
  <si>
    <t>Dato a 28 febrero</t>
  </si>
  <si>
    <t>% Cumplimiento</t>
  </si>
  <si>
    <t>Usuarios / mes</t>
  </si>
  <si>
    <t>Consolidar 1.500 usuarios únicos</t>
  </si>
  <si>
    <t>Visitas / mes</t>
  </si>
  <si>
    <t xml:space="preserve">Consolidar 2.500 visitas / mes </t>
  </si>
  <si>
    <t>Corporativa</t>
  </si>
  <si>
    <t>Spainsif en los medios económicos</t>
  </si>
  <si>
    <t xml:space="preserve">Cinco Días y El Economista </t>
  </si>
  <si>
    <t>Spainsif en medios internacionales</t>
  </si>
  <si>
    <t>ND</t>
  </si>
  <si>
    <t>Spainsif en medios regionales</t>
  </si>
  <si>
    <t>15 apariciones regionales</t>
  </si>
  <si>
    <t>Digital</t>
  </si>
  <si>
    <t>Seguidores: 1.792+20%=2.150</t>
  </si>
  <si>
    <t>Actividad: 63+20%= 77 tuits mensuales</t>
  </si>
  <si>
    <t>Impresiones: 36900+20%=44.280 impresiones/mes</t>
  </si>
  <si>
    <t>Engagement: 307+20%=368 RT/MG/Respuestas/Clics en enlaces (agregados)</t>
  </si>
  <si>
    <t>Seguidores: 300</t>
  </si>
  <si>
    <t>Actividad: 12 posts mensuales</t>
  </si>
  <si>
    <t>Impresiones: 2.000 impresiones / mes</t>
  </si>
  <si>
    <t>Engagement: 30 acciones sociales / mes</t>
  </si>
  <si>
    <t xml:space="preserve">Seguidores: 20 </t>
  </si>
  <si>
    <t>Actividad: 12 vídeos / año</t>
  </si>
  <si>
    <t>Visualizaciones: 500</t>
  </si>
  <si>
    <t>SPAINSIF - MARZO DE 2018</t>
  </si>
  <si>
    <t>Con solo 5 minutos puedes conseguir que tu empresa participe en la encuesta de Red española del Pacto Mundial España y así contribuir en el diagnóstico del estado de implantación de la Agenda ODS en nuestro país en el ámbito privado empresarial. Porque tu empresa tiene mucho que decir... ¡Participa! https://lnkd.in/ebyphVm</t>
  </si>
  <si>
    <t>3/28/2018</t>
  </si>
  <si>
    <t>0.55%</t>
  </si>
  <si>
    <t>2.76%</t>
  </si>
  <si>
    <t>Explorando la innovación social y medioambiental para ganar mayor desempeño en valores: la experiencia de Mirova</t>
  </si>
  <si>
    <t>3/20/2018</t>
  </si>
  <si>
    <t>0.57%</t>
  </si>
  <si>
    <t>1.14%</t>
  </si>
  <si>
    <t>¿La igualdad de género es rentable?</t>
  </si>
  <si>
    <t>3/19/2018</t>
  </si>
  <si>
    <t>2.47%</t>
  </si>
  <si>
    <t>¡Tu empresa tiene mucho que decir! Colaboramos, junto con la Red Española del Pacto Mundial, en una consulta que se está llevando a cabo con el sector privado empresarial español sobre el estado de implantación de la #Agenda2030 con el fin de elaborar un diagnóstico al respecto. Se espera conseguir el mayor número de respuestas posibles. La encuesta se mantendrá abierta hasta el día 24 de abril. Los resultados de ésta, así como otras conclusiones serán puestos en común en una jornada de trabajo que se celebrará en Madrid el 10 de mayo. Tus respuestas son muy importantes, ¡participa! https://lnkd.in/dQdiVgX</t>
  </si>
  <si>
    <t>3/16/2018</t>
  </si>
  <si>
    <t>2.94%</t>
  </si>
  <si>
    <t>4.12%</t>
  </si>
  <si>
    <t>Si quieres saber saber por qué la sostenibilidad mejora el atractivo de una compañía ante los inversores y aprender de Jens Peers, CFA, no faltes a nuestro desayuno de Trabajo el próximo jueves 15 de marzo en la sede de Cecabank. En el desayuno, que se desarrollará en inglés, Peers nos explicará la metodología seguida por Mirova para optimizar el retorno de las inversiones, buscando compañías que tengan la mayor innovación en términos medioambientales y sociales. https://lnkd.in/dcpCnfs</t>
  </si>
  <si>
    <t>1.52%</t>
  </si>
  <si>
    <t>2.27%</t>
  </si>
  <si>
    <t>Investment by women, and in them, is growing</t>
  </si>
  <si>
    <t>THE SIX PRINCIPLES</t>
  </si>
  <si>
    <t>1.72%</t>
  </si>
  <si>
    <t>2.59%</t>
  </si>
  <si>
    <t>¿Qué hacen con tu dinero? La cuestión que gana terreno en la busca de inversiones rentables</t>
  </si>
  <si>
    <t>.</t>
  </si>
  <si>
    <t>Total</t>
  </si>
  <si>
    <t>New Followers</t>
  </si>
  <si>
    <t>SPAINSIF - ABRIL DE 2018</t>
  </si>
  <si>
    <t>Los criterios extrafinancieros en la filosofía de inversión de activos de Lazard</t>
  </si>
  <si>
    <t>Agenda evento Spainsif-Natixis</t>
  </si>
  <si>
    <t>ISR, un binomio rentabilidad-riesgo atractivo a largo plazo: La visión de Lazard</t>
  </si>
  <si>
    <t>Rankiapro</t>
  </si>
  <si>
    <t>¿Sabe cómo utiliza el banco su dinero?</t>
  </si>
  <si>
    <t>20 Minutos</t>
  </si>
  <si>
    <t>Jaime Silos: "No se trata de sustituir analisis financiero por algo esotérico"</t>
  </si>
  <si>
    <t>Guía para entender la inversión social y sostenible</t>
  </si>
  <si>
    <t>Las gestoras se toman en serio la inversión responsable</t>
  </si>
  <si>
    <t>Criterios extrafinancieros en los planes de empleo</t>
  </si>
  <si>
    <t>ISR.- Lazard Frères exige a sus analistas informes de huella de carbono y transición energética</t>
  </si>
  <si>
    <t>Transversa 2018</t>
  </si>
  <si>
    <t>Changing the climate of finance</t>
  </si>
  <si>
    <t>Consultant: Global corruption surveys</t>
  </si>
  <si>
    <t xml:space="preserve">Agora </t>
  </si>
  <si>
    <t>Spainsif: encuentro con Philippe Zauati</t>
  </si>
  <si>
    <t>DIRSE organiza la próxima edición de TransveRSa 2018</t>
  </si>
  <si>
    <t>El diario del comprador</t>
  </si>
  <si>
    <t>¿Sabes cómo utiliza el banco tu dinero?</t>
  </si>
  <si>
    <t>20 Minutos (Digital)</t>
  </si>
  <si>
    <t>Jaime Silos (Spainsif):"No se trata de sustituir análisis financiero por algo esotérico"</t>
  </si>
  <si>
    <t>Allianz apuesta por evangelizar la inversión sostenible</t>
  </si>
  <si>
    <t>merca2.0</t>
  </si>
  <si>
    <t>Tres nuevos fondos sostenibles de asociados a Spainsif se registraron en la CNMV durante el último trimestre</t>
  </si>
  <si>
    <t>Fondos de inversión socialmente responsables y muy rentables a largo plazo</t>
  </si>
  <si>
    <t>Grupo BBVA (es)</t>
  </si>
  <si>
    <t>Public</t>
  </si>
  <si>
    <t>En España ya hay 26 fondos sostenibles tras registrarse tres nuevos</t>
  </si>
  <si>
    <t>Agenda evento  'ISR, un binomio rentabilidad-riesgo atractivo a largo plazo. La visión de Lazard' (x3)</t>
  </si>
  <si>
    <t>Red Española de Pacto Mundial realiza una encuesta online sobre el papel de la empresa en el desarrollo sostenible</t>
  </si>
  <si>
    <t>ISR, un atractivo binomio rentabilidad-riesgo (Agenda)</t>
  </si>
  <si>
    <t>Fondos españoles que acumulan un 30% de rendimiento en cinco años a golpe de ISR</t>
  </si>
  <si>
    <t>Las empresas españolas pueden participar en el diseño del plan de acción de la Agenda 2030</t>
  </si>
  <si>
    <t>La Reserva de la Biosfera organiza dos charlas sobre políticas empresariales</t>
  </si>
  <si>
    <t>Noticias de Lanzarote</t>
  </si>
  <si>
    <t>Notilanzarote</t>
  </si>
  <si>
    <t>Lanzarote.- La Reserva de la Biosfera organiza dos charlas sobre políticas empresariales basadas en los Objetivos de Desarrollo Sostenible de la ONU</t>
  </si>
  <si>
    <t>Reserva de la Biosfera organiza dos charlas sobre políticas empresariales</t>
  </si>
  <si>
    <t>Lancelot Digital</t>
  </si>
  <si>
    <t>Fondos que rentan más de un 30% a cinco años a golpe de inversión sostenible</t>
  </si>
  <si>
    <t>Invertia</t>
  </si>
  <si>
    <t>¿Sabes cómo tomar mejores #decisiones teniendo en cuenta el valor añadido que representan los aspectos ambientales, sociales y de buen gobierno corporativo? Te invitamos a este foro de alto nivel imprescindible para inversores, directivos empresariales y líderes de opinión organizado por el Clúster de Transparencia, Buen Gobierno e Integridad coordinado por FORETICA, junto a MSCI Inc. con el apoyo del IE Business School y Spainsif. Durante la sesión MSCI presentará los resultados de su estudio, Foundations of ESG Investing – Part 1: How ESG Affects Equity Valuation, Risk And Performance y desde Forética se presentará el informe “El valor de la gobernanza: Incrementando el retorno a través de la gestión extra-financiera”, que traslada estos aspectos al contexto español. Pues inscribirte aquí: https://lnkd.in/dr_6GFU</t>
  </si>
  <si>
    <t>4/23/2018</t>
  </si>
  <si>
    <t>3.25%</t>
  </si>
  <si>
    <t>5.19%</t>
  </si>
  <si>
    <t>Entrevista de Cinco Días a Jaime Silos Leal, Presidente de Spainsif, en la que reflexiona sobre cómo el auge de la inversión responsable ha hecho más fácil saber qué hay debajo de las carteras, de forma que las compañías que peor lo hacen a nivel ASG cotizan con descuento respecto a las que lo hacen mejor.</t>
  </si>
  <si>
    <t>4/19/2018</t>
  </si>
  <si>
    <t>3.53%</t>
  </si>
  <si>
    <t>5.35%</t>
  </si>
  <si>
    <t>Cada vez más, las entidades financieras y gestoras invierten nuestros ahorros aplicando criterios ambientales, sociales y de buen gobierno, según el Observatorio de Inversión Socialmente Responsable de Novaster en colaboración con Spainsif, BBVA, Bankia y @Banco Santander. En este artículo, publicado hoy en el suplemento #MiBolsillo, de 20minutos, analizan el fenómeno de  #inversiónsostenible contando con la opinión de nuestro director, Francisco Javier Garayoa Arruti, que destaca el crecimiento exponencial tanto en la demanda de #fondosISR como en la oferta, representada por nuestros 62 asociados. </t>
  </si>
  <si>
    <t>3.42%</t>
  </si>
  <si>
    <t>4.79%</t>
  </si>
  <si>
    <t>DesayunoISR: ISR, un binomio rentabilidad-riesgo atractivo a largo plazo. La visión de Lazard</t>
  </si>
  <si>
    <t>1.62%</t>
  </si>
  <si>
    <t>2.16%</t>
  </si>
  <si>
    <t>1.27%</t>
  </si>
  <si>
    <t>2.54%</t>
  </si>
  <si>
    <t>SPAINSIF - JUNIO DE 2018</t>
  </si>
  <si>
    <t>Nordea AM: Inversión Socialmente Responsable: Mucho más de lo que imaginas</t>
  </si>
  <si>
    <t>Los 17 objetivos de desarrollo sostenible acordados ONU 2030, sin instrucciones para abordarlos</t>
  </si>
  <si>
    <t>Ibercampus</t>
  </si>
  <si>
    <t>Premio Manuel Olivencia: plazos, candidaturas y elección del galardonado</t>
  </si>
  <si>
    <t>Blog de Cuatrecasas</t>
  </si>
  <si>
    <t>La Asamblea Anual de Spainsif avala el Código Europeo de Transparencia en materia de inversión sostenible</t>
  </si>
  <si>
    <t>ISR: Mucho más de lo que imaginas</t>
  </si>
  <si>
    <t>Spainsif avala el código europeo de transparencia en materia de inversión sostenible</t>
  </si>
  <si>
    <t>¿Se pueden contratar fondos de inversión ‘online’?</t>
  </si>
  <si>
    <t>Grupo BBVA</t>
  </si>
  <si>
    <t>La inversión socialmente responsable, a debate en Facebook Live</t>
  </si>
  <si>
    <t>sabor809.com</t>
  </si>
  <si>
    <t>Tressis: "Invertir con ética es a largo plazo menos arriesgado"</t>
  </si>
  <si>
    <t>El País</t>
  </si>
  <si>
    <t>Inmobiliarios Solidarios</t>
  </si>
  <si>
    <t>Sostenibilidad: ISR y Objetivos de Desarrollo Sostenible, una simbiosis inevitable</t>
  </si>
  <si>
    <t>La inversión sostenible se consolida con 6 eventos en 5 ciudades españolas que concitan a más de 500 personas</t>
  </si>
  <si>
    <t>La ISR y los ODS: Jornada de clausura de la Semana de la ISR organizada por Spainsif</t>
  </si>
  <si>
    <t>Cuatro fondos para poder invertir con unos criterios éticos básicos</t>
  </si>
  <si>
    <t>Qué Fondos</t>
  </si>
  <si>
    <t>Los fondos sostenibles 'pata negra' se abren paso en el mercado español</t>
  </si>
  <si>
    <t>¿Es realmente rentable la inversión sostenible?</t>
  </si>
  <si>
    <t>Banco Santander lanza un nuevo fondo de inversión sostenible gestionado por Lola Solana</t>
  </si>
  <si>
    <t>Hipotecas-creditos</t>
  </si>
  <si>
    <t>Toda una semana de trabajo y reflexión sobre la Inversión Sostenible</t>
  </si>
  <si>
    <t>Representantes de entidades financieras, aseguradoras, entidades gestoras, proveedores de servicios ISR, universidades, escuelas de negocios, organizaciones sin ánimo de lucro y sindicatos, se han reunido durante la Semana de la ISR 2018</t>
  </si>
  <si>
    <t>Información Extra Financiera en los Planes de Pensiones de Empleo e Iniciativas Europeas sobre Finanzas Sostenibles, Madrid, 1 de junio</t>
  </si>
  <si>
    <t>Porelclima</t>
  </si>
  <si>
    <t>La inversión sostenible se consolida en España</t>
  </si>
  <si>
    <t>ISR y Objetivos de Desarrollo Sostenible, una simbiosis inevitable</t>
  </si>
  <si>
    <t>Santander lanza un nuevo fondo de inversión sostenible gestionado por Lola Solana</t>
  </si>
  <si>
    <t>Banco Santander</t>
  </si>
  <si>
    <t>El Imparcial</t>
  </si>
  <si>
    <t>El Plural</t>
  </si>
  <si>
    <t xml:space="preserve">Santander lanza un nuevo fondo de inversión sostenible </t>
  </si>
  <si>
    <t>Estrategias de Inversión</t>
  </si>
  <si>
    <t>Santander pone al frente de su fondo sostenible a Lola Solana, su gestora estrella</t>
  </si>
  <si>
    <t>Santander AMfondos de inversióninversión responsableISR</t>
  </si>
  <si>
    <t>Futuroafondo</t>
  </si>
  <si>
    <t>Santander Sostenible Acciones, nuevo fondo de Lola Solana</t>
  </si>
  <si>
    <t>Funds&amp;Markets</t>
  </si>
  <si>
    <t>Santander le entrega otro fondo a Lola Solana tras el éxito del Small Caps</t>
  </si>
  <si>
    <t>Lola Solana busca el éxito del Santander Small Caps en un nuevo fondo sostenible</t>
  </si>
  <si>
    <t>Lainformacion.com</t>
  </si>
  <si>
    <t>El nuevo reto de Banco Santander a Lola Solana: un fondo sostenible y rentable</t>
  </si>
  <si>
    <t>Intereconomía</t>
  </si>
  <si>
    <t>Santander lanza un nuevo fondo de inversion sostenible gestionado por Lola Solana</t>
  </si>
  <si>
    <t>La ASEAFI recomienda cumplir lo esencial de la MiFID II porque la CNMV podría exigirlo</t>
  </si>
  <si>
    <t>Valencia Plaza</t>
  </si>
  <si>
    <t>Inversiones alternativas para la EAFI: Demanda del cliente institucional y opción de futuro para el individual</t>
  </si>
  <si>
    <t>Bankia se suma al primer "Desafío #Greenfriday" para favorecer la compra de productos responsables</t>
  </si>
  <si>
    <t>Extraconfidencial.com</t>
  </si>
  <si>
    <t>Economiadehoy.es</t>
  </si>
  <si>
    <t>La futura Ley del cambio climático y la transición energética centra la jornada de la Semana ISR 2018 en Ibercaja</t>
  </si>
  <si>
    <t>La rentabilidad no está reñida con la sostenibilidad, conclusión del Foro Spainsif celebrado en València</t>
  </si>
  <si>
    <t>Alicante Plaza</t>
  </si>
  <si>
    <t>Sostenibilidad, de valor reputacional a impacto financiero</t>
  </si>
  <si>
    <t>Cuando apostar por la sostenibilidad es el mejor recurso para la empresa</t>
  </si>
  <si>
    <t>Expansión (digital)</t>
  </si>
  <si>
    <t>La rentabilidad no está reñida con la sostenibilidad, palabra de Spainsif</t>
  </si>
  <si>
    <t>Semana de la ISR': "La inversión socialmente sostenible avanza tras demostrar su rentabilidad y seguridad"</t>
  </si>
  <si>
    <t>La inversión socialmente responsable (ISR) sí es rentable</t>
  </si>
  <si>
    <t>Objetivo GreenFriday: el consumo responsable</t>
  </si>
  <si>
    <t>¿Es compatible la rentabilidad con el compromiso social?</t>
  </si>
  <si>
    <t>Ibercaja participa en el evento de referencia sobre inversión sostenible en España</t>
  </si>
  <si>
    <t>Diario Aragonés</t>
  </si>
  <si>
    <t>Zaragoza acoge la Semana de la ISR para abordar la futura Ley de Cambio Climático y su impacto en los inversores</t>
  </si>
  <si>
    <t>Bankia se suma al primer #Greenfriday para favorecer la compra de productos sostenibles</t>
  </si>
  <si>
    <t>Madrid Diario</t>
  </si>
  <si>
    <t>La Comunidad #PorElClima invita a comprar de forma responsable con el 'Desafío GreenFriday' hasta el 10 de junio</t>
  </si>
  <si>
    <t>El Periódico</t>
  </si>
  <si>
    <t>Categoría</t>
  </si>
  <si>
    <t>Acciones (contrato)</t>
  </si>
  <si>
    <t>Comunicación interna y puesta en valor de los stakeholders</t>
  </si>
  <si>
    <t>Acciones ejecutadas</t>
  </si>
  <si>
    <t>Resultado</t>
  </si>
  <si>
    <t>Redifusión NDP y comunicaciones digitales</t>
  </si>
  <si>
    <t>Redifusión 3 NDP Eurosif a medios</t>
  </si>
  <si>
    <t>Comunicación digital nuevos asociados</t>
  </si>
  <si>
    <t>Asistencia, cobertura y difusión eventos</t>
  </si>
  <si>
    <t>Seguimiento asociados en redes</t>
  </si>
  <si>
    <t>Seguimiento asociados en Twitter y Linkedin</t>
  </si>
  <si>
    <t>Seguimiento e interacción con todos los asociados</t>
  </si>
  <si>
    <t>Entrevistas a asociados</t>
  </si>
  <si>
    <t xml:space="preserve">4 Video-entrevistas realizadas para Valor Spainsif </t>
  </si>
  <si>
    <t>Grupo en Linkedin</t>
  </si>
  <si>
    <t>Propuesta DG estrategia integral Linkedin + grupo</t>
  </si>
  <si>
    <t>Maximizar palancas COM desde Plataforma</t>
  </si>
  <si>
    <t>Propuestas realizadas a la dirección</t>
  </si>
  <si>
    <t>Relaciones con los asociados</t>
  </si>
  <si>
    <t>Aspecto excluido de la aportación de Codigital</t>
  </si>
  <si>
    <t>Buena acogida por los asociados</t>
  </si>
  <si>
    <t>RT y menciones a asociados en redes (diario)</t>
  </si>
  <si>
    <t>Comunicación corporativa</t>
  </si>
  <si>
    <t>Planificación acciones</t>
  </si>
  <si>
    <t>Objetivos trazables</t>
  </si>
  <si>
    <t xml:space="preserve"> +245% follow-back y +615% interacción</t>
  </si>
  <si>
    <t>Informe mensual de reporting y clipping</t>
  </si>
  <si>
    <t>Elaborados 9 informes mensuales y dos PPT trimestrales y envío clipping semanal y cuantificación mensual de apariciones más PDF - Dossier de prensa</t>
  </si>
  <si>
    <t>Breves ISR semanales</t>
  </si>
  <si>
    <t>Redifusión de los breves en canales digitales</t>
  </si>
  <si>
    <t xml:space="preserve"> +250 publicaciones</t>
  </si>
  <si>
    <t>Incorporar periodistas a los receptores de breves</t>
  </si>
  <si>
    <t>Incorporar contenidos / entrevistas que pongan en valor la actividad de los socios</t>
  </si>
  <si>
    <t>Utilizar formatos audiovisuales y gráficos</t>
  </si>
  <si>
    <t>Acción sustituida de acuerdo con la dirección por el envío de resúmenes de nuestros desayunos a medios. 23 resúmenes enviados</t>
  </si>
  <si>
    <t>Divulgación de eventos organizados por Spainsif</t>
  </si>
  <si>
    <t>Convocatoria</t>
  </si>
  <si>
    <t xml:space="preserve">Retransmisión y grabación </t>
  </si>
  <si>
    <t>Streaming del evento anual + realización vídeo resumen y cobertura en directo en Twitter de todos los eventos</t>
  </si>
  <si>
    <t>Creación canal Slideshare</t>
  </si>
  <si>
    <t>Canal creado y alimentado con las PPT hasta abril que pasó la actualización a R. Richi.</t>
  </si>
  <si>
    <t>x vídeos subidosa Youtube x visualizaciones</t>
  </si>
  <si>
    <t>Notas de prensa</t>
  </si>
  <si>
    <t>Ruedas de prensa y presentaciones a medios</t>
  </si>
  <si>
    <t>Acción sustituida por el momento por las convocatorias a desayunos. Se mantiene la propuesta para la presentación del próximo plan estratégico trienal.</t>
  </si>
  <si>
    <t>Divulgación estudios realizados</t>
  </si>
  <si>
    <t>Divulgación (NDP y canales digitales) de tres estudios publicados</t>
  </si>
  <si>
    <t>Apoyarse en los socios para colaborar con ellos en difusión</t>
  </si>
  <si>
    <t>Puesta en práctica en la Semana ISR (envío comunicado tipo y materiales)</t>
  </si>
  <si>
    <t>5 comunicados enviados por asociados de eventos de la SemanaISR</t>
  </si>
  <si>
    <t>Crear red de aliados en divulgación de la ISR</t>
  </si>
  <si>
    <t>Acción sustituida por los contactos con asociados ad hoc y los etiquetados de los aliados en las redes</t>
  </si>
  <si>
    <t>Relaciones con los medios</t>
  </si>
  <si>
    <t>Periodistas RSC / ISR identificados y contacto frecuente con todos. Contactos mensuales con 4/5 periodistas para explorar acuerdos y fomentar reportajes ISR</t>
  </si>
  <si>
    <t xml:space="preserve">7 reportajes específicos promovidos </t>
  </si>
  <si>
    <t xml:space="preserve">Presencia en contenidos ISR a publicar </t>
  </si>
  <si>
    <t>Incluido en contactos habituales con periodistas. Seguimiento diario/semanal de publicaciones para detectar cuando no nos mencionan. Envío frecuente de estudios y presentaciones a medios</t>
  </si>
  <si>
    <t>Comunicación digital</t>
  </si>
  <si>
    <t>Lanzamiento canal Youtube y actualización</t>
  </si>
  <si>
    <t>Re-lanzado el canal y actualización muy frecuente con vídeo-resúmenes de eventos, vídeo-entevistas a ponentes, vídeo-streaming (Evento Anual)</t>
  </si>
  <si>
    <t>Twitter: actualización diaria y cobertura eventos</t>
  </si>
  <si>
    <t>Localización y seguimientos realizados, actualización diaria (+/- 5 tuits) y cobertura eventos</t>
  </si>
  <si>
    <t>Linkedin: lanzamiento canal corporativo y grupos de debate</t>
  </si>
  <si>
    <t>Estrategia SEO</t>
  </si>
  <si>
    <t>Acción propuesta en el contrato para el último trimestre</t>
  </si>
  <si>
    <t>Apoyo en marketing</t>
  </si>
  <si>
    <t>Presentada propuesta de apoyo para Google Grants</t>
  </si>
  <si>
    <t>Relaciones con los SIFs europeos</t>
  </si>
  <si>
    <t>Pestaña Spainsif in English</t>
  </si>
  <si>
    <t>Por desarrollar cuando se modifique la web, junto al apoyo en la sección ISR Retail</t>
  </si>
  <si>
    <t>Auditar mejores prácticas de comunicación de  los SIFs</t>
  </si>
  <si>
    <t>Otros</t>
  </si>
  <si>
    <t>Difusión en España de las comunicaciones de Eurosif. Sin contactos con el resto de SIFs</t>
  </si>
  <si>
    <t>Dato a 15 julio</t>
  </si>
  <si>
    <t>35 apariciones regionales</t>
  </si>
  <si>
    <t xml:space="preserve">5D, El Economista, Expansión, Funds People, Funds Society </t>
  </si>
  <si>
    <t xml:space="preserve"> +15 publicaciones</t>
  </si>
  <si>
    <t xml:space="preserve">Dos artículos realizados (Adrián), menciones en todos los eventos de J. Garayoa y J. Silos, redifusión en redes, 2.373 visitas a la Plataforma (+18% interanual) </t>
  </si>
  <si>
    <t>Establecimiento 16 objetivos de comunicación para 2018</t>
  </si>
  <si>
    <t>22 desde 15/9/17, 17 en 2018</t>
  </si>
  <si>
    <t>2 en jn, 4 en mayo, 1 en abril, 2 en marzo, 3 en febrero, 1 en enero, 1 en diciembre, 4 en noviembre, 4 en octubre.</t>
  </si>
  <si>
    <t>Cobertura 22 eventos (cobertura por Twitter, fotos, resumen, crónica y comunicado)</t>
  </si>
  <si>
    <t>Elaboración y aprobación de 9 documentos corporativos (políticas, objetivos, trazabilidad y propuestas)</t>
  </si>
  <si>
    <t>9 documentos aprobados, estrategia de comunicación desplegada.</t>
  </si>
  <si>
    <t>Producción de 1 streaming (evento anual), 13 vídeo-entrevistas y 6 micro-vídeos para redes</t>
  </si>
  <si>
    <t>Cumplimiento a cierre de junio de 12 objetivos al 100% o más del 100% (4 de ellos a más del 200% y otro a más del 300%), y de los 4 restantes, 2 están al 98%, 1 al 60% y otro al 0% (medios internacionales)</t>
  </si>
  <si>
    <t>7,1 de media</t>
  </si>
  <si>
    <t>Incluido en Valor Spainsif (3 vídeo entevistas realizadas)</t>
  </si>
  <si>
    <t>Cobertura, crónica, vídeo-entrevistas a todos los ponentes, resumen para web, envío comunicado a medios para 20 desayunos y 3 eventos mayores (Evento Anual y Semana ISR)</t>
  </si>
  <si>
    <t>Convocatoria digital + identificación medios agenda a quienes se convoca a todos los eventos. 16 convocatorias enviadas a 9 medios identificados.</t>
  </si>
  <si>
    <t xml:space="preserve">14 PPT subidas por Codigital, 32 en total. Alcance a 270 personas, 32 acciones de engagement generadas. </t>
  </si>
  <si>
    <t>6 NDP oficiales enviadas, ampliación del ámbito de periodistas que las reciben y nos publican a medios económicos, generalistas, regionales. Remisión adicional de 16 comunicados con resúmenes de desayunos.</t>
  </si>
  <si>
    <t>344 medios mencionando a Spainsif desde 15/9/17 que han llegado a 27.903.422 personas generando un valor económico equivalente de 968.629 euros.</t>
  </si>
  <si>
    <t>16 vídeos subidosa Youtube con 1.700 visualizaciones</t>
  </si>
  <si>
    <t>Aumento de 527 seguidores desde el 15/9/17, 493 acciones de engagement y Trending Topic conseguido en el cierre de la SemanaISR</t>
  </si>
  <si>
    <t>Lanzamiento y actualización del canal corporativo (actualizaciones semanales) y propuesta a la dirección para dimensionamiento marca personal del DG y grupos de debate</t>
  </si>
  <si>
    <t>Aumento de 501 contactos (294 en el perfil corporativo y 207 en el invividual) y duplicación efectiva de las visualizaciones y las acciones de engagement generadas</t>
  </si>
  <si>
    <t>Por desarrollar informe / benchmarking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</si>
</sst>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164" formatCode="#,##0.00\ &quot;€&quot;"/>
    <numFmt numFmtId="165" formatCode="#,##0\ &quot;€&quot;"/>
  </numFmts>
  <fonts count="33">
    <font>
      <sz val="12"/>
      <color theme="1"/>
      <name val="Calibri"/>
      <family val="2"/>
      <charset val="204"/>
      <scheme val="minor"/>
    </font>
    <font>
      <u/>
      <sz val="12"/>
      <color theme="10"/>
      <name val="Calibri"/>
      <family val="2"/>
      <scheme val="minor"/>
    </font>
    <font>
      <u/>
      <sz val="12"/>
      <color theme="11"/>
      <name val="Calibri"/>
      <family val="2"/>
      <scheme val="minor"/>
    </font>
    <font>
      <b/>
      <sz val="12"/>
      <color theme="1"/>
      <name val="Calibri"/>
      <family val="2"/>
      <scheme val="minor"/>
    </font>
    <font>
      <b/>
      <sz val="14"/>
      <color theme="1"/>
      <name val="Calibri"/>
      <family val="2"/>
      <scheme val="minor"/>
    </font>
    <font>
      <b/>
      <sz val="17"/>
      <color rgb="FF000000"/>
      <name val="Helvetica"/>
      <family val="2"/>
    </font>
    <font>
      <sz val="15"/>
      <color rgb="FF000000"/>
      <name val="Helvetica"/>
      <family val="2"/>
    </font>
    <font>
      <sz val="12"/>
      <color rgb="FF000000"/>
      <name val="Calibri"/>
      <family val="2"/>
      <scheme val="minor"/>
    </font>
    <font>
      <sz val="14"/>
      <color theme="1"/>
      <name val="Roboto Medium"/>
    </font>
    <font>
      <sz val="14"/>
      <color theme="0"/>
      <name val="Roboto Medium"/>
    </font>
    <font>
      <b/>
      <sz val="18"/>
      <color rgb="FFCA0A20"/>
      <name val="Roboto Medium"/>
    </font>
    <font>
      <sz val="14"/>
      <color rgb="FFFF0000"/>
      <name val="Roboto Medium"/>
    </font>
    <font>
      <sz val="14"/>
      <name val="Roboto Medium"/>
    </font>
    <font>
      <b/>
      <sz val="16"/>
      <color theme="1"/>
      <name val="Helvetica Neue"/>
      <family val="2"/>
    </font>
    <font>
      <sz val="14"/>
      <color theme="1"/>
      <name val="Helvetica Neue"/>
      <family val="2"/>
    </font>
    <font>
      <sz val="12"/>
      <color theme="1"/>
      <name val="Helvetica Neue"/>
      <family val="2"/>
    </font>
    <font>
      <sz val="12"/>
      <name val="Calibri"/>
      <family val="2"/>
      <scheme val="minor"/>
    </font>
    <font>
      <b/>
      <sz val="12"/>
      <name val="Calibri"/>
      <family val="2"/>
      <scheme val="minor"/>
    </font>
    <font>
      <sz val="12"/>
      <color rgb="FF333333"/>
      <name val="Helvetica Neue"/>
      <family val="2"/>
    </font>
    <font>
      <i/>
      <sz val="12"/>
      <name val="Calibri"/>
      <family val="2"/>
      <scheme val="minor"/>
    </font>
    <font>
      <sz val="12"/>
      <color theme="0" tint="-0.34998626667073579"/>
      <name val="Calibri"/>
      <family val="2"/>
      <scheme val="minor"/>
    </font>
    <font>
      <sz val="12"/>
      <color rgb="FFFF0000"/>
      <name val="Calibri"/>
      <family val="2"/>
      <charset val="134"/>
      <scheme val="minor"/>
    </font>
    <font>
      <sz val="12"/>
      <color theme="0"/>
      <name val="Calibri"/>
      <family val="2"/>
      <charset val="134"/>
      <scheme val="minor"/>
    </font>
    <font>
      <b/>
      <sz val="12"/>
      <color rgb="FF000000"/>
      <name val="Calibri"/>
      <family val="2"/>
      <charset val="134"/>
      <scheme val="minor"/>
    </font>
    <font>
      <b/>
      <sz val="14"/>
      <color rgb="FF000000"/>
      <name val="Calibri"/>
      <family val="2"/>
      <scheme val="minor"/>
    </font>
    <font>
      <b/>
      <sz val="16"/>
      <color rgb="FF000000"/>
      <name val="Helvetica Neue"/>
      <family val="2"/>
    </font>
    <font>
      <sz val="14"/>
      <color rgb="FF000000"/>
      <name val="Helvetica Neue"/>
      <family val="2"/>
    </font>
    <font>
      <sz val="12"/>
      <color rgb="FF000000"/>
      <name val="Helvetica Neue"/>
      <family val="2"/>
    </font>
    <font>
      <b/>
      <sz val="16"/>
      <color rgb="FFFFFFFF"/>
      <name val="Calibri"/>
      <family val="2"/>
      <scheme val="minor"/>
    </font>
    <font>
      <b/>
      <sz val="12"/>
      <color rgb="FFE91751"/>
      <name val="Calibri"/>
      <family val="2"/>
      <scheme val="minor"/>
    </font>
    <font>
      <sz val="9"/>
      <color indexed="81"/>
      <name val="Calibri"/>
      <family val="2"/>
      <charset val="134"/>
    </font>
    <font>
      <b/>
      <sz val="9"/>
      <color indexed="81"/>
      <name val="Calibri"/>
      <family val="2"/>
      <charset val="134"/>
    </font>
    <font>
      <sz val="12"/>
      <color theme="0"/>
      <name val="Calibri"/>
      <family val="2"/>
      <charset val="204"/>
      <scheme val="minor"/>
    </font>
  </fonts>
  <fills count="16">
    <fill>
      <patternFill patternType="none"/>
    </fill>
    <fill>
      <patternFill patternType="gray125"/>
    </fill>
    <fill>
      <patternFill patternType="solid">
        <fgColor rgb="FFCA0A20"/>
        <bgColor indexed="64"/>
      </patternFill>
    </fill>
    <fill>
      <patternFill patternType="solid">
        <fgColor theme="0"/>
        <bgColor indexed="64"/>
      </patternFill>
    </fill>
    <fill>
      <patternFill patternType="solid">
        <fgColor rgb="FF00FF00"/>
        <bgColor indexed="64"/>
      </patternFill>
    </fill>
    <fill>
      <patternFill patternType="solid">
        <fgColor rgb="FFFFFF00"/>
        <bgColor rgb="FF000000"/>
      </patternFill>
    </fill>
    <fill>
      <patternFill patternType="solid">
        <fgColor rgb="FFFFFFFF"/>
        <bgColor rgb="FF000000"/>
      </patternFill>
    </fill>
    <fill>
      <patternFill patternType="solid">
        <fgColor rgb="FFFFFF00"/>
        <bgColor indexed="64"/>
      </patternFill>
    </fill>
    <fill>
      <patternFill patternType="solid">
        <fgColor rgb="FFE91751"/>
        <bgColor rgb="FF000000"/>
      </patternFill>
    </fill>
    <fill>
      <patternFill patternType="solid">
        <fgColor theme="9" tint="-0.249977111117893"/>
        <bgColor indexed="64"/>
      </patternFill>
    </fill>
    <fill>
      <patternFill patternType="solid">
        <fgColor rgb="FF21FF06"/>
        <bgColor indexed="64"/>
      </patternFill>
    </fill>
    <fill>
      <patternFill patternType="solid">
        <fgColor theme="9" tint="0.39997558519241921"/>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theme="6" tint="0.59999389629810485"/>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thin">
        <color auto="1"/>
      </bottom>
      <diagonal/>
    </border>
    <border>
      <left style="medium">
        <color auto="1"/>
      </left>
      <right/>
      <top/>
      <bottom style="medium">
        <color auto="1"/>
      </bottom>
      <diagonal/>
    </border>
    <border>
      <left style="thin">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style="medium">
        <color auto="1"/>
      </right>
      <top style="thin">
        <color auto="1"/>
      </top>
      <bottom/>
      <diagonal/>
    </border>
  </borders>
  <cellStyleXfs count="16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cellStyleXfs>
  <cellXfs count="145">
    <xf numFmtId="0" fontId="0" fillId="0" borderId="0" xfId="0"/>
    <xf numFmtId="3" fontId="0" fillId="0" borderId="0" xfId="0" applyNumberFormat="1"/>
    <xf numFmtId="164" fontId="0" fillId="0" borderId="0" xfId="0" applyNumberFormat="1"/>
    <xf numFmtId="0" fontId="0" fillId="0" borderId="0" xfId="0" applyAlignment="1">
      <alignment wrapText="1"/>
    </xf>
    <xf numFmtId="0" fontId="3" fillId="0" borderId="0" xfId="0" applyFont="1" applyAlignment="1">
      <alignment wrapText="1"/>
    </xf>
    <xf numFmtId="0" fontId="3" fillId="0" borderId="0" xfId="0" applyFont="1"/>
    <xf numFmtId="3" fontId="4" fillId="0" borderId="0" xfId="0" applyNumberFormat="1" applyFont="1"/>
    <xf numFmtId="0" fontId="0" fillId="0" borderId="0" xfId="0" applyFont="1" applyAlignment="1">
      <alignment wrapText="1"/>
    </xf>
    <xf numFmtId="0" fontId="0" fillId="0" borderId="0" xfId="0" applyFont="1"/>
    <xf numFmtId="164" fontId="4" fillId="0" borderId="0" xfId="0" applyNumberFormat="1" applyFont="1"/>
    <xf numFmtId="0" fontId="5" fillId="0" borderId="0" xfId="0" applyFont="1"/>
    <xf numFmtId="0" fontId="7" fillId="0" borderId="0" xfId="0" applyFont="1"/>
    <xf numFmtId="10" fontId="7" fillId="0" borderId="0" xfId="0" applyNumberFormat="1" applyFont="1"/>
    <xf numFmtId="0" fontId="8" fillId="0" borderId="0" xfId="0" applyFont="1" applyAlignment="1">
      <alignment horizontal="center" vertical="center"/>
    </xf>
    <xf numFmtId="0" fontId="9" fillId="2" borderId="4" xfId="0" applyFont="1" applyFill="1" applyBorder="1" applyAlignment="1">
      <alignment horizontal="center" vertical="center"/>
    </xf>
    <xf numFmtId="0" fontId="9" fillId="2" borderId="0" xfId="0" applyFont="1" applyFill="1" applyBorder="1" applyAlignment="1">
      <alignment horizontal="center" vertical="center"/>
    </xf>
    <xf numFmtId="0" fontId="9" fillId="2" borderId="5" xfId="0" applyFont="1" applyFill="1" applyBorder="1" applyAlignment="1">
      <alignment horizontal="center" vertical="center"/>
    </xf>
    <xf numFmtId="0" fontId="8" fillId="0" borderId="4" xfId="0" applyFont="1" applyBorder="1" applyAlignment="1">
      <alignment horizontal="center" vertical="center"/>
    </xf>
    <xf numFmtId="0" fontId="8" fillId="0" borderId="0" xfId="0" applyFont="1" applyBorder="1" applyAlignment="1">
      <alignment horizontal="center" vertical="center"/>
    </xf>
    <xf numFmtId="10" fontId="11" fillId="0" borderId="0" xfId="0" applyNumberFormat="1" applyFont="1" applyBorder="1" applyAlignment="1">
      <alignment horizontal="center" vertical="center"/>
    </xf>
    <xf numFmtId="10" fontId="8" fillId="0" borderId="0" xfId="0" applyNumberFormat="1" applyFont="1" applyBorder="1" applyAlignment="1">
      <alignment horizontal="center" vertical="center"/>
    </xf>
    <xf numFmtId="10" fontId="12" fillId="4" borderId="5" xfId="0" applyNumberFormat="1" applyFont="1" applyFill="1" applyBorder="1" applyAlignment="1">
      <alignment horizontal="center" vertical="center"/>
    </xf>
    <xf numFmtId="3" fontId="8" fillId="0" borderId="0" xfId="0" applyNumberFormat="1" applyFont="1" applyBorder="1" applyAlignment="1">
      <alignment horizontal="center" vertical="center"/>
    </xf>
    <xf numFmtId="10" fontId="12" fillId="4" borderId="0" xfId="0" applyNumberFormat="1" applyFont="1" applyFill="1" applyBorder="1" applyAlignment="1">
      <alignment horizontal="center" vertical="center"/>
    </xf>
    <xf numFmtId="165" fontId="8" fillId="0" borderId="0" xfId="0" applyNumberFormat="1" applyFont="1" applyBorder="1" applyAlignment="1">
      <alignment horizontal="center" vertical="center"/>
    </xf>
    <xf numFmtId="10" fontId="11" fillId="3" borderId="0" xfId="0" applyNumberFormat="1" applyFont="1" applyFill="1" applyBorder="1" applyAlignment="1">
      <alignment horizontal="center" vertical="center"/>
    </xf>
    <xf numFmtId="8" fontId="8" fillId="0" borderId="0" xfId="0" applyNumberFormat="1" applyFont="1" applyBorder="1" applyAlignment="1">
      <alignment horizontal="center" vertical="center"/>
    </xf>
    <xf numFmtId="10" fontId="11" fillId="3" borderId="5" xfId="0" applyNumberFormat="1" applyFont="1" applyFill="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10" fontId="12" fillId="4" borderId="7" xfId="0" applyNumberFormat="1" applyFont="1" applyFill="1" applyBorder="1" applyAlignment="1">
      <alignment horizontal="center" vertical="center"/>
    </xf>
    <xf numFmtId="10" fontId="11" fillId="3" borderId="7" xfId="0" applyNumberFormat="1" applyFont="1" applyFill="1" applyBorder="1" applyAlignment="1">
      <alignment horizontal="center" vertical="center"/>
    </xf>
    <xf numFmtId="10" fontId="12" fillId="3" borderId="7" xfId="0" applyNumberFormat="1" applyFont="1" applyFill="1" applyBorder="1" applyAlignment="1">
      <alignment horizontal="center" vertical="center"/>
    </xf>
    <xf numFmtId="8" fontId="8" fillId="0" borderId="7" xfId="0" applyNumberFormat="1" applyFont="1" applyBorder="1" applyAlignment="1">
      <alignment horizontal="center" vertical="center"/>
    </xf>
    <xf numFmtId="10" fontId="11" fillId="3" borderId="8" xfId="0" applyNumberFormat="1" applyFont="1" applyFill="1" applyBorder="1" applyAlignment="1">
      <alignment horizontal="center" vertical="center"/>
    </xf>
    <xf numFmtId="0" fontId="9" fillId="2" borderId="6" xfId="0" applyFont="1" applyFill="1" applyBorder="1" applyAlignment="1">
      <alignment horizontal="center" vertical="center"/>
    </xf>
    <xf numFmtId="3" fontId="9" fillId="2" borderId="7" xfId="0" applyNumberFormat="1" applyFont="1" applyFill="1" applyBorder="1" applyAlignment="1">
      <alignment horizontal="center" vertical="center"/>
    </xf>
    <xf numFmtId="0" fontId="8" fillId="0" borderId="8" xfId="0" applyFont="1" applyBorder="1" applyAlignment="1">
      <alignment horizontal="center" vertical="center"/>
    </xf>
    <xf numFmtId="0" fontId="13" fillId="0" borderId="0" xfId="0" applyFont="1"/>
    <xf numFmtId="0" fontId="1" fillId="0" borderId="0" xfId="115"/>
    <xf numFmtId="0" fontId="15" fillId="0" borderId="0" xfId="0" applyFont="1"/>
    <xf numFmtId="0" fontId="16" fillId="0" borderId="0" xfId="0" applyFont="1"/>
    <xf numFmtId="14" fontId="16" fillId="0" borderId="0" xfId="0" applyNumberFormat="1" applyFont="1"/>
    <xf numFmtId="3" fontId="16" fillId="0" borderId="0" xfId="0" applyNumberFormat="1" applyFont="1"/>
    <xf numFmtId="164" fontId="16" fillId="0" borderId="0" xfId="0" applyNumberFormat="1" applyFont="1"/>
    <xf numFmtId="3" fontId="0" fillId="0" borderId="0" xfId="0" applyNumberFormat="1" applyFont="1"/>
    <xf numFmtId="164" fontId="0" fillId="0" borderId="0" xfId="0" applyNumberFormat="1" applyFont="1"/>
    <xf numFmtId="0" fontId="18" fillId="0" borderId="0" xfId="0" applyFont="1"/>
    <xf numFmtId="0" fontId="17" fillId="5" borderId="0" xfId="0" applyFont="1" applyFill="1"/>
    <xf numFmtId="3" fontId="17" fillId="5" borderId="0" xfId="0" applyNumberFormat="1" applyFont="1" applyFill="1"/>
    <xf numFmtId="164" fontId="17" fillId="5" borderId="0" xfId="0" applyNumberFormat="1" applyFont="1" applyFill="1"/>
    <xf numFmtId="3" fontId="19" fillId="6" borderId="0" xfId="0" applyNumberFormat="1" applyFont="1" applyFill="1"/>
    <xf numFmtId="164" fontId="19" fillId="6" borderId="0" xfId="0" applyNumberFormat="1" applyFont="1" applyFill="1"/>
    <xf numFmtId="164" fontId="20" fillId="0" borderId="0" xfId="0" applyNumberFormat="1" applyFont="1"/>
    <xf numFmtId="0" fontId="17" fillId="7" borderId="0" xfId="0" applyFont="1" applyFill="1"/>
    <xf numFmtId="3" fontId="17" fillId="7" borderId="0" xfId="0" applyNumberFormat="1" applyFont="1" applyFill="1"/>
    <xf numFmtId="164" fontId="17" fillId="7" borderId="0" xfId="0" applyNumberFormat="1" applyFont="1" applyFill="1"/>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8" fillId="0" borderId="12" xfId="0" applyFont="1" applyBorder="1" applyAlignment="1">
      <alignment horizontal="center" vertical="center"/>
    </xf>
    <xf numFmtId="10" fontId="11" fillId="3" borderId="13" xfId="0" applyNumberFormat="1" applyFont="1" applyFill="1" applyBorder="1" applyAlignment="1">
      <alignment horizontal="center" vertical="center"/>
    </xf>
    <xf numFmtId="10" fontId="12" fillId="4" borderId="13" xfId="0" applyNumberFormat="1" applyFont="1" applyFill="1" applyBorder="1" applyAlignment="1">
      <alignment horizontal="center" vertical="center"/>
    </xf>
    <xf numFmtId="0" fontId="8" fillId="0" borderId="14" xfId="0" applyFont="1" applyBorder="1" applyAlignment="1">
      <alignment horizontal="center" vertical="center"/>
    </xf>
    <xf numFmtId="0" fontId="9" fillId="2" borderId="15" xfId="0" applyFont="1" applyFill="1" applyBorder="1" applyAlignment="1">
      <alignment horizontal="center" vertical="center"/>
    </xf>
    <xf numFmtId="0" fontId="9" fillId="2" borderId="16" xfId="0" applyFont="1" applyFill="1" applyBorder="1" applyAlignment="1">
      <alignment horizontal="center" vertical="center"/>
    </xf>
    <xf numFmtId="0" fontId="8" fillId="0" borderId="17" xfId="0" applyFont="1" applyBorder="1" applyAlignment="1">
      <alignment horizontal="center" vertical="center"/>
    </xf>
    <xf numFmtId="3" fontId="9" fillId="2" borderId="17" xfId="0" applyNumberFormat="1" applyFont="1" applyFill="1" applyBorder="1" applyAlignment="1">
      <alignment horizontal="center" vertical="center"/>
    </xf>
    <xf numFmtId="0" fontId="8" fillId="0" borderId="18" xfId="0" applyFont="1" applyBorder="1" applyAlignment="1">
      <alignment horizontal="center" vertical="center"/>
    </xf>
    <xf numFmtId="0" fontId="23" fillId="0" borderId="0" xfId="0" applyFont="1" applyAlignment="1">
      <alignment wrapText="1"/>
    </xf>
    <xf numFmtId="0" fontId="23" fillId="0" borderId="0" xfId="0" applyFont="1"/>
    <xf numFmtId="0" fontId="7" fillId="0" borderId="0" xfId="0" applyFont="1" applyAlignment="1">
      <alignment wrapText="1"/>
    </xf>
    <xf numFmtId="3" fontId="23" fillId="0" borderId="0" xfId="0" applyNumberFormat="1" applyFont="1"/>
    <xf numFmtId="164" fontId="23" fillId="0" borderId="0" xfId="0" applyNumberFormat="1" applyFont="1"/>
    <xf numFmtId="3" fontId="17" fillId="0" borderId="0" xfId="0" applyNumberFormat="1" applyFont="1"/>
    <xf numFmtId="164" fontId="17" fillId="0" borderId="0" xfId="0" applyNumberFormat="1" applyFont="1"/>
    <xf numFmtId="3" fontId="7" fillId="0" borderId="0" xfId="0" applyNumberFormat="1" applyFont="1"/>
    <xf numFmtId="164" fontId="7" fillId="0" borderId="0" xfId="0" applyNumberFormat="1" applyFont="1"/>
    <xf numFmtId="0" fontId="1" fillId="0" borderId="0" xfId="115" applyAlignment="1">
      <alignment wrapText="1"/>
    </xf>
    <xf numFmtId="0" fontId="17" fillId="0" borderId="0" xfId="0" applyFont="1"/>
    <xf numFmtId="3" fontId="24" fillId="0" borderId="0" xfId="0" applyNumberFormat="1" applyFont="1"/>
    <xf numFmtId="3" fontId="3" fillId="0" borderId="0" xfId="0" applyNumberFormat="1" applyFont="1"/>
    <xf numFmtId="164" fontId="3" fillId="0" borderId="0" xfId="0" applyNumberFormat="1" applyFont="1"/>
    <xf numFmtId="14" fontId="1" fillId="0" borderId="0" xfId="115" applyNumberFormat="1"/>
    <xf numFmtId="165" fontId="24" fillId="0" borderId="0" xfId="0" applyNumberFormat="1" applyFont="1"/>
    <xf numFmtId="0" fontId="25" fillId="0" borderId="0" xfId="0" applyFont="1"/>
    <xf numFmtId="0" fontId="27" fillId="0" borderId="0" xfId="0" applyFont="1"/>
    <xf numFmtId="0" fontId="7" fillId="0" borderId="0" xfId="0" applyFont="1" applyAlignment="1">
      <alignment horizontal="right"/>
    </xf>
    <xf numFmtId="14" fontId="7" fillId="0" borderId="0" xfId="0" applyNumberFormat="1" applyFont="1"/>
    <xf numFmtId="10" fontId="12" fillId="3" borderId="0" xfId="0" applyNumberFormat="1" applyFont="1" applyFill="1" applyBorder="1" applyAlignment="1">
      <alignment horizontal="center" vertical="center"/>
    </xf>
    <xf numFmtId="165" fontId="9" fillId="2" borderId="17" xfId="0" applyNumberFormat="1" applyFont="1" applyFill="1" applyBorder="1" applyAlignment="1">
      <alignment horizontal="center" vertical="center"/>
    </xf>
    <xf numFmtId="0" fontId="29" fillId="0" borderId="19" xfId="0" applyFont="1" applyBorder="1" applyAlignment="1">
      <alignment horizontal="center"/>
    </xf>
    <xf numFmtId="0" fontId="7" fillId="0" borderId="19" xfId="0" applyFont="1" applyBorder="1" applyAlignment="1">
      <alignment horizontal="center" vertical="center"/>
    </xf>
    <xf numFmtId="0" fontId="7" fillId="0" borderId="19" xfId="0" applyFont="1" applyBorder="1" applyAlignment="1">
      <alignment horizontal="center"/>
    </xf>
    <xf numFmtId="3" fontId="7" fillId="0" borderId="19" xfId="0" applyNumberFormat="1" applyFont="1" applyBorder="1" applyAlignment="1">
      <alignment horizontal="center" vertical="center"/>
    </xf>
    <xf numFmtId="10" fontId="22" fillId="9" borderId="19" xfId="0" applyNumberFormat="1" applyFont="1" applyFill="1" applyBorder="1" applyAlignment="1">
      <alignment horizontal="center" vertical="center"/>
    </xf>
    <xf numFmtId="9" fontId="21" fillId="3" borderId="19" xfId="0" applyNumberFormat="1" applyFont="1" applyFill="1" applyBorder="1" applyAlignment="1">
      <alignment horizontal="center" vertical="center"/>
    </xf>
    <xf numFmtId="9" fontId="0" fillId="10" borderId="19" xfId="0" applyNumberFormat="1" applyFill="1" applyBorder="1" applyAlignment="1">
      <alignment horizontal="center" vertical="center"/>
    </xf>
    <xf numFmtId="10" fontId="0" fillId="11" borderId="19" xfId="0" applyNumberFormat="1" applyFill="1" applyBorder="1" applyAlignment="1">
      <alignment horizontal="center" vertical="center"/>
    </xf>
    <xf numFmtId="0" fontId="14" fillId="0" borderId="0" xfId="0" applyFont="1"/>
    <xf numFmtId="2" fontId="0" fillId="0" borderId="0" xfId="0" applyNumberFormat="1"/>
    <xf numFmtId="0" fontId="0" fillId="0" borderId="2" xfId="0" applyBorder="1"/>
    <xf numFmtId="0" fontId="0" fillId="0" borderId="0" xfId="0" applyBorder="1"/>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0" fillId="0" borderId="18" xfId="0" applyBorder="1"/>
    <xf numFmtId="0" fontId="8" fillId="0" borderId="19" xfId="0" applyFont="1" applyBorder="1" applyAlignment="1">
      <alignment horizontal="center" vertical="center"/>
    </xf>
    <xf numFmtId="10" fontId="11" fillId="3" borderId="19" xfId="0" applyNumberFormat="1" applyFont="1" applyFill="1" applyBorder="1" applyAlignment="1">
      <alignment horizontal="center" vertical="center"/>
    </xf>
    <xf numFmtId="3" fontId="8" fillId="0" borderId="19" xfId="0" applyNumberFormat="1" applyFont="1" applyBorder="1" applyAlignment="1">
      <alignment horizontal="center" vertical="center"/>
    </xf>
    <xf numFmtId="8" fontId="8" fillId="0" borderId="19" xfId="0" applyNumberFormat="1" applyFont="1" applyBorder="1" applyAlignment="1">
      <alignment horizontal="center" vertical="center"/>
    </xf>
    <xf numFmtId="10" fontId="12" fillId="4" borderId="19" xfId="0" applyNumberFormat="1" applyFont="1" applyFill="1" applyBorder="1" applyAlignment="1">
      <alignment horizontal="center" vertical="center"/>
    </xf>
    <xf numFmtId="10" fontId="12" fillId="3" borderId="19" xfId="0" applyNumberFormat="1" applyFont="1" applyFill="1" applyBorder="1" applyAlignment="1">
      <alignment horizontal="center" vertical="center"/>
    </xf>
    <xf numFmtId="10" fontId="8" fillId="0" borderId="19" xfId="0" applyNumberFormat="1" applyFont="1" applyBorder="1" applyAlignment="1">
      <alignment horizontal="center" vertical="center"/>
    </xf>
    <xf numFmtId="0" fontId="9" fillId="2" borderId="19" xfId="0" applyFont="1" applyFill="1" applyBorder="1" applyAlignment="1">
      <alignment horizontal="center" vertical="center"/>
    </xf>
    <xf numFmtId="165" fontId="8" fillId="0" borderId="19" xfId="0" applyNumberFormat="1" applyFont="1" applyBorder="1" applyAlignment="1">
      <alignment horizontal="center" vertical="center"/>
    </xf>
    <xf numFmtId="0" fontId="7" fillId="0" borderId="19" xfId="0" applyFont="1" applyBorder="1" applyAlignment="1">
      <alignment horizontal="center" vertical="center"/>
    </xf>
    <xf numFmtId="0" fontId="0" fillId="0" borderId="0" xfId="0" quotePrefix="1" applyAlignment="1">
      <alignment wrapText="1"/>
    </xf>
    <xf numFmtId="0" fontId="0" fillId="0" borderId="19" xfId="0" applyBorder="1"/>
    <xf numFmtId="0" fontId="0" fillId="0" borderId="19" xfId="0" applyBorder="1" applyAlignment="1">
      <alignment wrapText="1"/>
    </xf>
    <xf numFmtId="0" fontId="32" fillId="12" borderId="19" xfId="0" applyFont="1" applyFill="1" applyBorder="1"/>
    <xf numFmtId="0" fontId="0" fillId="13" borderId="19" xfId="0" applyFont="1" applyFill="1" applyBorder="1"/>
    <xf numFmtId="0" fontId="32" fillId="14" borderId="19" xfId="0" applyFont="1" applyFill="1" applyBorder="1"/>
    <xf numFmtId="0" fontId="32" fillId="12" borderId="19" xfId="0" applyFont="1" applyFill="1" applyBorder="1" applyAlignment="1">
      <alignment wrapText="1"/>
    </xf>
    <xf numFmtId="0" fontId="0" fillId="15" borderId="19" xfId="0" applyFont="1" applyFill="1" applyBorder="1" applyAlignment="1">
      <alignment wrapText="1"/>
    </xf>
    <xf numFmtId="0" fontId="0" fillId="13" borderId="19" xfId="0" applyFont="1" applyFill="1" applyBorder="1" applyAlignment="1">
      <alignment wrapText="1"/>
    </xf>
    <xf numFmtId="0" fontId="7" fillId="0" borderId="19" xfId="0" applyFont="1" applyBorder="1" applyAlignment="1">
      <alignment horizontal="center" vertical="center" wrapText="1"/>
    </xf>
    <xf numFmtId="0" fontId="3" fillId="0" borderId="19" xfId="0" applyFont="1" applyBorder="1" applyAlignment="1">
      <alignment horizontal="center" vertical="center"/>
    </xf>
    <xf numFmtId="0" fontId="28" fillId="8" borderId="19" xfId="0" applyFont="1" applyFill="1" applyBorder="1" applyAlignment="1">
      <alignment horizontal="center"/>
    </xf>
    <xf numFmtId="0" fontId="7" fillId="0" borderId="19" xfId="0" applyFont="1" applyBorder="1" applyAlignment="1">
      <alignment horizontal="center" vertical="center"/>
    </xf>
    <xf numFmtId="17" fontId="10" fillId="3" borderId="1" xfId="0" applyNumberFormat="1" applyFont="1" applyFill="1" applyBorder="1" applyAlignment="1">
      <alignment horizontal="center" vertical="center"/>
    </xf>
    <xf numFmtId="17" fontId="10" fillId="3" borderId="2" xfId="0" applyNumberFormat="1" applyFont="1" applyFill="1" applyBorder="1" applyAlignment="1">
      <alignment horizontal="center" vertical="center"/>
    </xf>
    <xf numFmtId="17" fontId="10" fillId="3" borderId="20" xfId="0" applyNumberFormat="1" applyFont="1" applyFill="1" applyBorder="1" applyAlignment="1">
      <alignment horizontal="center" vertical="center"/>
    </xf>
    <xf numFmtId="0" fontId="14" fillId="0" borderId="0" xfId="0" applyFont="1"/>
    <xf numFmtId="14" fontId="14" fillId="0" borderId="0" xfId="0" applyNumberFormat="1" applyFont="1"/>
    <xf numFmtId="3" fontId="14" fillId="0" borderId="0" xfId="0" applyNumberFormat="1" applyFont="1"/>
    <xf numFmtId="10" fontId="14" fillId="0" borderId="0" xfId="0" applyNumberFormat="1" applyFont="1" applyAlignment="1">
      <alignment horizontal="left"/>
    </xf>
    <xf numFmtId="0" fontId="14" fillId="0" borderId="0" xfId="0" applyFont="1" applyAlignment="1">
      <alignment horizontal="left"/>
    </xf>
    <xf numFmtId="9" fontId="14" fillId="0" borderId="0" xfId="0" applyNumberFormat="1" applyFont="1"/>
    <xf numFmtId="0" fontId="26" fillId="0" borderId="0" xfId="0" applyFont="1"/>
    <xf numFmtId="14" fontId="26" fillId="0" borderId="0" xfId="0" applyNumberFormat="1" applyFont="1"/>
    <xf numFmtId="17" fontId="10" fillId="3" borderId="9" xfId="0" applyNumberFormat="1" applyFont="1" applyFill="1" applyBorder="1" applyAlignment="1">
      <alignment horizontal="center" vertical="center"/>
    </xf>
    <xf numFmtId="17" fontId="10" fillId="3" borderId="10" xfId="0" applyNumberFormat="1" applyFont="1" applyFill="1" applyBorder="1" applyAlignment="1">
      <alignment horizontal="center" vertical="center"/>
    </xf>
    <xf numFmtId="17" fontId="10" fillId="3" borderId="11" xfId="0" applyNumberFormat="1" applyFont="1" applyFill="1" applyBorder="1" applyAlignment="1">
      <alignment horizontal="center" vertical="center"/>
    </xf>
    <xf numFmtId="0" fontId="6" fillId="0" borderId="0" xfId="0" applyFont="1"/>
    <xf numFmtId="10" fontId="6" fillId="0" borderId="0" xfId="0" applyNumberFormat="1" applyFont="1"/>
    <xf numFmtId="17" fontId="10" fillId="3" borderId="3" xfId="0" applyNumberFormat="1" applyFont="1" applyFill="1" applyBorder="1" applyAlignment="1">
      <alignment horizontal="center" vertical="center"/>
    </xf>
  </cellXfs>
  <cellStyles count="164">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7" builtinId="9" hidden="1"/>
    <cellStyle name="Hipervínculo visitado" xfId="118" builtinId="9" hidden="1"/>
    <cellStyle name="Hipervínculo visitado" xfId="119" builtinId="9" hidden="1"/>
    <cellStyle name="Hipervínculo visitado" xfId="120" builtinId="9" hidden="1"/>
    <cellStyle name="Hipervínculo visitado" xfId="121" builtinId="9" hidden="1"/>
    <cellStyle name="Hipervínculo visitado" xfId="122" builtinId="9" hidden="1"/>
    <cellStyle name="Hipervínculo visitado" xfId="123" builtinId="9" hidden="1"/>
    <cellStyle name="Hipervínculo visitado" xfId="124" builtinId="9" hidden="1"/>
    <cellStyle name="Hipervínculo visitado" xfId="125" builtinId="9" hidden="1"/>
    <cellStyle name="Hipervínculo visitado" xfId="126" builtinId="9" hidden="1"/>
    <cellStyle name="Hipervínculo visitado" xfId="127" builtinId="9" hidden="1"/>
    <cellStyle name="Hipervínculo visitado" xfId="128" builtinId="9" hidden="1"/>
    <cellStyle name="Hipervínculo visitado" xfId="129" builtinId="9" hidden="1"/>
    <cellStyle name="Hipervínculo visitado" xfId="130" builtinId="9" hidden="1"/>
    <cellStyle name="Hipervínculo visitado" xfId="131" builtinId="9" hidden="1"/>
    <cellStyle name="Hipervínculo visitado" xfId="132" builtinId="9" hidden="1"/>
    <cellStyle name="Hipervínculo visitado" xfId="133" builtinId="9" hidden="1"/>
    <cellStyle name="Hipervínculo visitado" xfId="134" builtinId="9" hidden="1"/>
    <cellStyle name="Hipervínculo visitado" xfId="135" builtinId="9" hidden="1"/>
    <cellStyle name="Hipervínculo visitado" xfId="136" builtinId="9" hidden="1"/>
    <cellStyle name="Hipervínculo visitado" xfId="137" builtinId="9" hidden="1"/>
    <cellStyle name="Hipervínculo visitado" xfId="138" builtinId="9" hidden="1"/>
    <cellStyle name="Hipervínculo visitado" xfId="139" builtinId="9" hidden="1"/>
    <cellStyle name="Hipervínculo visitado" xfId="140" builtinId="9" hidden="1"/>
    <cellStyle name="Hipervínculo visitado" xfId="141" builtinId="9" hidden="1"/>
    <cellStyle name="Hipervínculo visitado" xfId="142" builtinId="9" hidden="1"/>
    <cellStyle name="Hipervínculo visitado" xfId="143" builtinId="9" hidden="1"/>
    <cellStyle name="Hipervínculo visitado" xfId="144" builtinId="9" hidden="1"/>
    <cellStyle name="Hipervínculo visitado" xfId="145" builtinId="9" hidden="1"/>
    <cellStyle name="Hipervínculo visitado" xfId="146" builtinId="9" hidden="1"/>
    <cellStyle name="Hipervínculo visitado" xfId="147" builtinId="9" hidden="1"/>
    <cellStyle name="Hipervínculo visitado" xfId="148" builtinId="9" hidden="1"/>
    <cellStyle name="Hipervínculo visitado" xfId="149" builtinId="9" hidden="1"/>
    <cellStyle name="Hipervínculo visitado" xfId="150" builtinId="9" hidden="1"/>
    <cellStyle name="Hipervínculo visitado" xfId="151" builtinId="9" hidden="1"/>
    <cellStyle name="Hipervínculo visitado" xfId="152" builtinId="9" hidden="1"/>
    <cellStyle name="Hipervínculo visitado" xfId="153" builtinId="9" hidden="1"/>
    <cellStyle name="Hipervínculo visitado" xfId="154" builtinId="9" hidden="1"/>
    <cellStyle name="Hipervínculo visitado" xfId="155" builtinId="9" hidden="1"/>
    <cellStyle name="Hipervínculo visitado" xfId="156" builtinId="9" hidden="1"/>
    <cellStyle name="Hipervínculo visitado" xfId="157" builtinId="9" hidden="1"/>
    <cellStyle name="Hipervínculo visitado" xfId="158" builtinId="9" hidden="1"/>
    <cellStyle name="Hipervínculo visitado" xfId="159" builtinId="9" hidden="1"/>
    <cellStyle name="Hipervínculo visitado" xfId="160" builtinId="9" hidden="1"/>
    <cellStyle name="Hipervínculo visitado" xfId="161" builtinId="9" hidden="1"/>
    <cellStyle name="Hipervínculo visitado" xfId="162" builtinId="9" hidden="1"/>
    <cellStyle name="Hipervínculo visitado" xfId="163" builtinId="9" hidden="1"/>
    <cellStyle name="Normal" xfId="0" builtinId="0"/>
  </cellStyles>
  <dxfs count="0"/>
  <tableStyles count="0" defaultTableStyle="TableStyleMedium9" defaultPivotStyle="PivotStyleMedium4"/>
  <colors>
    <mruColors>
      <color rgb="FF008F00"/>
      <color rgb="FF8EF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CO/Downloads/180301_Valor%20publicaciones%20Spainsif%20FEBRERO%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brero 2018"/>
      <sheetName val="Cuadro Febrero 2018"/>
      <sheetName val="Cuadro Enero 2018"/>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hyperlink" Target="http://www.otromundoesposible.net/debemos-tener-una-sociedad-civil-activa-que-no-dependa-solo-del-poder-politico/" TargetMode="External"/><Relationship Id="rId13" Type="http://schemas.openxmlformats.org/officeDocument/2006/relationships/hyperlink" Target="https://es.fundspeople.com/news/la-isr-funciona" TargetMode="External"/><Relationship Id="rId18" Type="http://schemas.openxmlformats.org/officeDocument/2006/relationships/hyperlink" Target="https://www.sendasenior.com/El-envejecimiento-de-la-poblacion-ofrece-oportunidades-de-inversion-sostenible_a5408.html" TargetMode="External"/><Relationship Id="rId26" Type="http://schemas.openxmlformats.org/officeDocument/2006/relationships/hyperlink" Target="https://www.linkedin.com/feed/update/urn:li:activity:6372033705522790400" TargetMode="External"/><Relationship Id="rId3" Type="http://schemas.openxmlformats.org/officeDocument/2006/relationships/hyperlink" Target="https://cincodias.elpais.com/cincodias/2018/02/23/mercados/1519396176_587744.html" TargetMode="External"/><Relationship Id="rId21" Type="http://schemas.openxmlformats.org/officeDocument/2006/relationships/hyperlink" Target="https://cincodias.elpais.com/cincodias/2018/02/23/mercados/1519396176_587744.html" TargetMode="External"/><Relationship Id="rId7" Type="http://schemas.openxmlformats.org/officeDocument/2006/relationships/hyperlink" Target="https://www.elindependiente.com/economia/2018/02/03/invertir-contra-cambio-climatico/" TargetMode="External"/><Relationship Id="rId12" Type="http://schemas.openxmlformats.org/officeDocument/2006/relationships/hyperlink" Target="https://www.todostartups.com/emprendedores/inversiones/los-bonos-verdes-podrian-mover-hasta-1-billon-de-dolares-en-2020" TargetMode="External"/><Relationship Id="rId17" Type="http://schemas.openxmlformats.org/officeDocument/2006/relationships/hyperlink" Target="http://www.compromisorse.com/rse/2018/02/19/spainsif-y-generali-ven-en-el-envejecimiento-una-oportunidad-para-la-isr/" TargetMode="External"/><Relationship Id="rId25" Type="http://schemas.openxmlformats.org/officeDocument/2006/relationships/hyperlink" Target="https://www.linkedin.com/feed/update/urn:li:activity:6373171163450863617" TargetMode="External"/><Relationship Id="rId2" Type="http://schemas.openxmlformats.org/officeDocument/2006/relationships/hyperlink" Target="https://www.pressreader.com/spain/la-vanguardia-dinero/20180204/282106342086387" TargetMode="External"/><Relationship Id="rId16" Type="http://schemas.openxmlformats.org/officeDocument/2006/relationships/hyperlink" Target="http://www.europapress.es/epsocial/responsables/noticia-spainsif-generali-vinculan-envejecimiento-poblacion-inversion-sostenible-20180216142846.html" TargetMode="External"/><Relationship Id="rId20" Type="http://schemas.openxmlformats.org/officeDocument/2006/relationships/hyperlink" Target="https://elasesorfinanciero.com/envejecimiento-problema-las-pensiones-una-oportunidad-la-inversion-sostenible/" TargetMode="External"/><Relationship Id="rId29" Type="http://schemas.openxmlformats.org/officeDocument/2006/relationships/hyperlink" Target="https://www.linkedin.com/feed/update/urn:li:activity:6369110387203272704" TargetMode="External"/><Relationship Id="rId1" Type="http://schemas.openxmlformats.org/officeDocument/2006/relationships/hyperlink" Target="http://escueladeinversion.finanzas.com/que-son-los-fondos-isr.html" TargetMode="External"/><Relationship Id="rId6" Type="http://schemas.openxmlformats.org/officeDocument/2006/relationships/hyperlink" Target="http://www.corresponsables.com/actualidad/jornadas-corresponsables-2018" TargetMode="External"/><Relationship Id="rId11" Type="http://schemas.openxmlformats.org/officeDocument/2006/relationships/hyperlink" Target="http://www.efeempresas.com/noticia/emision-bonos-verdes-2020/" TargetMode="External"/><Relationship Id="rId24" Type="http://schemas.openxmlformats.org/officeDocument/2006/relationships/hyperlink" Target="https://www.linkedin.com/feed/update/urn:li:activity:6373171285614166016" TargetMode="External"/><Relationship Id="rId5" Type="http://schemas.openxmlformats.org/officeDocument/2006/relationships/hyperlink" Target="http://www.europapress.es/epsocial/responsables/noticia-sustainalytics-ossiam-presentan-producto-genera-senales-oportunidad-riesgo-financiero-traves-big-data-20180202110232.html" TargetMode="External"/><Relationship Id="rId15" Type="http://schemas.openxmlformats.org/officeDocument/2006/relationships/hyperlink" Target="http://corresponsables.com/actualidad/envejecimiento-poblacion-oportunidad-inversion-sostenible" TargetMode="External"/><Relationship Id="rId23" Type="http://schemas.openxmlformats.org/officeDocument/2006/relationships/hyperlink" Target="https://www.linkedin.com/feed/update/urn:li:activity:6373838718045863937" TargetMode="External"/><Relationship Id="rId28" Type="http://schemas.openxmlformats.org/officeDocument/2006/relationships/hyperlink" Target="https://www.linkedin.com/feed/update/urn:li:activity:6369499081265418240" TargetMode="External"/><Relationship Id="rId10" Type="http://schemas.openxmlformats.org/officeDocument/2006/relationships/hyperlink" Target="http://www.lavanguardia.com/vida/20180207/44604293468/varios-expertos-proponen-ventajas-fiscales-para-fomentar-los-bonos-verdes.html" TargetMode="External"/><Relationship Id="rId19" Type="http://schemas.openxmlformats.org/officeDocument/2006/relationships/hyperlink" Target="http://www.futuroafondo.com/es/noticia/grey-power-oportunidad-para-capturar-rentabilidad-sostenible" TargetMode="External"/><Relationship Id="rId31" Type="http://schemas.openxmlformats.org/officeDocument/2006/relationships/hyperlink" Target="https://www.linkedin.com/feed/update/urn:li:activity:6366262594927497216" TargetMode="External"/><Relationship Id="rId4" Type="http://schemas.openxmlformats.org/officeDocument/2006/relationships/hyperlink" Target="http://www.levante-emv.com/responsabilidad-social-corporativa/2018/02/27/creditos-sostenibles-via-financiacion-verde/1684946.html" TargetMode="External"/><Relationship Id="rId9" Type="http://schemas.openxmlformats.org/officeDocument/2006/relationships/hyperlink" Target="http://www.compromisorse.com/rse/2018/02/06/como-aprovechar-el-big-data-en-la-inversion-socialmente-responsable/" TargetMode="External"/><Relationship Id="rId14" Type="http://schemas.openxmlformats.org/officeDocument/2006/relationships/hyperlink" Target="https://www.compromisoempresarial.com/innovacion_social/2018/02/el-envejecimiento-de-la-poblacion-ofrece-oportunidades-de-inversion-sostenible/" TargetMode="External"/><Relationship Id="rId22" Type="http://schemas.openxmlformats.org/officeDocument/2006/relationships/hyperlink" Target="https://www.linkedin.com/feed/update/urn:li:activity:6364810326097096705" TargetMode="External"/><Relationship Id="rId27" Type="http://schemas.openxmlformats.org/officeDocument/2006/relationships/hyperlink" Target="https://www.linkedin.com/feed/update/urn:li:activity:6370241429171634176" TargetMode="External"/><Relationship Id="rId30" Type="http://schemas.openxmlformats.org/officeDocument/2006/relationships/hyperlink" Target="https://www.linkedin.com/feed/update/urn:li:activity:6366982471862620160"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www.linkedin.com/feed/update/urn:li:activity:6358965021401317377" TargetMode="External"/><Relationship Id="rId13" Type="http://schemas.openxmlformats.org/officeDocument/2006/relationships/hyperlink" Target="https://www.linkedin.com/feed/update/urn:li:activity:6354233985605865472" TargetMode="External"/><Relationship Id="rId3" Type="http://schemas.openxmlformats.org/officeDocument/2006/relationships/hyperlink" Target="https://www.linkedin.com/feed/update/urn:li:activity:6361899143312531456" TargetMode="External"/><Relationship Id="rId7" Type="http://schemas.openxmlformats.org/officeDocument/2006/relationships/hyperlink" Target="https://www.linkedin.com/feed/update/urn:li:activity:6359321202422620160" TargetMode="External"/><Relationship Id="rId12" Type="http://schemas.openxmlformats.org/officeDocument/2006/relationships/hyperlink" Target="https://www.linkedin.com/feed/update/urn:li:activity:6353914334552424448" TargetMode="External"/><Relationship Id="rId2" Type="http://schemas.openxmlformats.org/officeDocument/2006/relationships/hyperlink" Target="https://www.linkedin.com/feed/update/urn:li:activity:6363700584347942912" TargetMode="External"/><Relationship Id="rId1" Type="http://schemas.openxmlformats.org/officeDocument/2006/relationships/hyperlink" Target="https://www.linkedin.com/feed/update/urn:li:activity:6364391515430612992" TargetMode="External"/><Relationship Id="rId6" Type="http://schemas.openxmlformats.org/officeDocument/2006/relationships/hyperlink" Target="https://www.linkedin.com/feed/update/urn:li:activity:6359703494731137024" TargetMode="External"/><Relationship Id="rId11" Type="http://schemas.openxmlformats.org/officeDocument/2006/relationships/hyperlink" Target="https://www.linkedin.com/feed/update/urn:li:activity:6354264938977984512" TargetMode="External"/><Relationship Id="rId5" Type="http://schemas.openxmlformats.org/officeDocument/2006/relationships/hyperlink" Target="https://www.linkedin.com/feed/update/urn:li:activity:6360098899868426240" TargetMode="External"/><Relationship Id="rId10" Type="http://schemas.openxmlformats.org/officeDocument/2006/relationships/hyperlink" Target="https://www.linkedin.com/feed/update/urn:li:activity:6356451466827436032" TargetMode="External"/><Relationship Id="rId4" Type="http://schemas.openxmlformats.org/officeDocument/2006/relationships/hyperlink" Target="https://www.linkedin.com/feed/update/urn:li:activity:6361175691223986176" TargetMode="External"/><Relationship Id="rId9" Type="http://schemas.openxmlformats.org/officeDocument/2006/relationships/hyperlink" Target="https://www.linkedin.com/feed/update/urn:li:activity:6357233716758216704"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sabor809.com/internacionales/20-europa/15352-la-inversion-socialmente-responsable-a-debate-en-facebook-live" TargetMode="External"/><Relationship Id="rId13" Type="http://schemas.openxmlformats.org/officeDocument/2006/relationships/hyperlink" Target="https://diarioresponsable.com/noticias/26480-isr-y-objetivos-de-desarrollo-sostenible-una-simbiosis-inevitable" TargetMode="External"/><Relationship Id="rId18" Type="http://schemas.openxmlformats.org/officeDocument/2006/relationships/hyperlink" Target="https://cincodias.elpais.com/cincodias/2018/06/15/mercados/1529076599_641426.html" TargetMode="External"/><Relationship Id="rId26" Type="http://schemas.openxmlformats.org/officeDocument/2006/relationships/hyperlink" Target="http://www.finanzas.com/noticias/mercados/fondos-inversion/20180611/santander-pone-frente-fondo-3858340.html" TargetMode="External"/><Relationship Id="rId39" Type="http://schemas.openxmlformats.org/officeDocument/2006/relationships/hyperlink" Target="https://www.finect.com/grupos/fonditel/articulos/es-compatible-rentabilidad-compromiso-social" TargetMode="External"/><Relationship Id="rId3" Type="http://schemas.openxmlformats.org/officeDocument/2006/relationships/hyperlink" Target="https://blog.cuatrecasas.com/premio-manuel-olivencia/" TargetMode="External"/><Relationship Id="rId21" Type="http://schemas.openxmlformats.org/officeDocument/2006/relationships/hyperlink" Target="https://diarioresponsable.com/noticias/26480-isr-y-objetivos-de-desarrollo-sostenible-una-simbiosis-inevitable" TargetMode="External"/><Relationship Id="rId34" Type="http://schemas.openxmlformats.org/officeDocument/2006/relationships/hyperlink" Target="https://www.estrategiasdeinversion.com/analisis/bolsa-y-mercados/analisis-fondos/aseafi-recomienda-cumplir-lo-esencial-de-mifid-n-402575" TargetMode="External"/><Relationship Id="rId42" Type="http://schemas.openxmlformats.org/officeDocument/2006/relationships/hyperlink" Target="https://www.madridiario.es/456800/bankia-suma-primer-greenfriday-compra-productos-sostenibles" TargetMode="External"/><Relationship Id="rId7" Type="http://schemas.openxmlformats.org/officeDocument/2006/relationships/hyperlink" Target="https://www.bbva.com/es/pueden-contratar-fondos-inversion-online/" TargetMode="External"/><Relationship Id="rId12" Type="http://schemas.openxmlformats.org/officeDocument/2006/relationships/hyperlink" Target="https://cincodias.elpais.com/cincodias/2018/06/19/mercados/1529408621_510663.html" TargetMode="External"/><Relationship Id="rId17" Type="http://schemas.openxmlformats.org/officeDocument/2006/relationships/hyperlink" Target="https://www.invertia.com/es/-/los-fondos-sostenibles-pata-negra-captan-un-60-de-las-suscripciones-netas-en-espana?inheritRedirect=true" TargetMode="External"/><Relationship Id="rId25" Type="http://schemas.openxmlformats.org/officeDocument/2006/relationships/hyperlink" Target="https://www.elplural.com/economia/2018/06/11/santander-fondo-inversion-sostenible" TargetMode="External"/><Relationship Id="rId33" Type="http://schemas.openxmlformats.org/officeDocument/2006/relationships/hyperlink" Target="https://valenciaplaza.com/la-aseafi-recomienda-cumplir-lo-esencial-de-la-mifid-ii-porque-la-cnmv-podria-exigirlo" TargetMode="External"/><Relationship Id="rId38" Type="http://schemas.openxmlformats.org/officeDocument/2006/relationships/hyperlink" Target="https://diarioresponsable.com/noticias/26452-objetivo-greenfriday-el-consumo-responsable" TargetMode="External"/><Relationship Id="rId2" Type="http://schemas.openxmlformats.org/officeDocument/2006/relationships/hyperlink" Target="https://www.ibercampus.es/los-17-objetivos-de-desarrollo-sostenible-acordados-onu-2030-sin-instrucciones-37045.htm" TargetMode="External"/><Relationship Id="rId16" Type="http://schemas.openxmlformats.org/officeDocument/2006/relationships/hyperlink" Target="https://cincodias.elpais.com/cincodias/2018/06/15/mercados/1529054676_805596.html" TargetMode="External"/><Relationship Id="rId20" Type="http://schemas.openxmlformats.org/officeDocument/2006/relationships/hyperlink" Target="https://www.compromisorse.com/rse/2018/06/13/la-inversion-sostenible-se-consolida-en-espana/" TargetMode="External"/><Relationship Id="rId29" Type="http://schemas.openxmlformats.org/officeDocument/2006/relationships/hyperlink" Target="https://www.lainformacion.com/economia-negocios-y-finanzas/mercados-y-bolsas/lola-solana-busca-el-exito-del-santander-small-caps-con-un-fondo-sostenible/6350074" TargetMode="External"/><Relationship Id="rId41" Type="http://schemas.openxmlformats.org/officeDocument/2006/relationships/hyperlink" Target="http://www.eleconomista.es/aragon/noticias/9184211/06/18/Zaragoza-acoge-la-Semana-de-la-ISR-para-abordar-la-futura-Ley-de-Cambio-Climatico-y-su-impacto-en-los-inversores.html" TargetMode="External"/><Relationship Id="rId1" Type="http://schemas.openxmlformats.org/officeDocument/2006/relationships/hyperlink" Target="https://es.fundspeople.com/events/nordea-am-inversion-socialmente-responsable-mucho-mas-de-lo-que-imaginas" TargetMode="External"/><Relationship Id="rId6" Type="http://schemas.openxmlformats.org/officeDocument/2006/relationships/hyperlink" Target="https://www.compromisoempresarial.com/transparencia/2018/06/spainsif-avala-el-codigo-europeo-de-transparencia-en-materia-de-inversion-sostenible/" TargetMode="External"/><Relationship Id="rId11" Type="http://schemas.openxmlformats.org/officeDocument/2006/relationships/hyperlink" Target="https://inmobiliarios-solidarios.com/2018/06/20/tressis-invertir-con-etica-es-a-largo-plazo-menos-arriesgado/" TargetMode="External"/><Relationship Id="rId24" Type="http://schemas.openxmlformats.org/officeDocument/2006/relationships/hyperlink" Target="https://www.estrategiasdeinversion.com/actualidad/noticias/bolsa-espana/santander-am-lanza-un-nuevo-fondo-de-inversion-n-402605" TargetMode="External"/><Relationship Id="rId32" Type="http://schemas.openxmlformats.org/officeDocument/2006/relationships/hyperlink" Target="http://www.fundssociety.com/es/noticias/negocio/santander-lanza-un-nuevo-fondo-de-inversion-sostenible-gestionado-por-lola-solana" TargetMode="External"/><Relationship Id="rId37" Type="http://schemas.openxmlformats.org/officeDocument/2006/relationships/hyperlink" Target="https://economia3.com/2018/06/05/146530-la-inversion-socialmente-responsable-isr-si-es-rentable/" TargetMode="External"/><Relationship Id="rId40" Type="http://schemas.openxmlformats.org/officeDocument/2006/relationships/hyperlink" Target="http://diarioaragones.com/informativos/mediodia/110435-ibercaja-participa-en-el-evento-de-referencia-sobre-inversion-sostenible-en-espana.html" TargetMode="External"/><Relationship Id="rId5" Type="http://schemas.openxmlformats.org/officeDocument/2006/relationships/hyperlink" Target="https://diarioresponsable.com/agenda-rse/26546-isr-mucho-mas-de-lo-que-imaginas" TargetMode="External"/><Relationship Id="rId15" Type="http://schemas.openxmlformats.org/officeDocument/2006/relationships/hyperlink" Target="https://www.quefondos.com/es/fondos/noticias/refs/ref_02355-fondos-poder-invertir-criterios-eticos-basicos.html" TargetMode="External"/><Relationship Id="rId23" Type="http://schemas.openxmlformats.org/officeDocument/2006/relationships/hyperlink" Target="https://www.santander.com/csgs/Satellite/CFWCSancomQP01/es_ES/Corporativo/Sala-de-comunicacion/Santander-Noticias/2018/06/11/Santander-lanza-un-nuevo-fondo-de-inversion-sostenible-gestionado-por-Lola-Solana-.html" TargetMode="External"/><Relationship Id="rId28" Type="http://schemas.openxmlformats.org/officeDocument/2006/relationships/hyperlink" Target="https://www.bolsamania.com/noticias/mercados/santander-le-entrega-otro-fondo-a-lola-solana-tras-el-exito-del-small-caps--3339420.html" TargetMode="External"/><Relationship Id="rId36" Type="http://schemas.openxmlformats.org/officeDocument/2006/relationships/hyperlink" Target="http://www.expansion.com/empresas/2018/06/06/5b17a546e5fdeaf9438b45e6.html" TargetMode="External"/><Relationship Id="rId10" Type="http://schemas.openxmlformats.org/officeDocument/2006/relationships/hyperlink" Target="https://cincodias.elpais.com/cincodias/2018/06/19/mercados/1529408621_510663.html" TargetMode="External"/><Relationship Id="rId19" Type="http://schemas.openxmlformats.org/officeDocument/2006/relationships/hyperlink" Target="https://www.culturarsc.com/2018/06/13/informacion-extra-financiera-en-los-planes-de-pensiones/" TargetMode="External"/><Relationship Id="rId31" Type="http://schemas.openxmlformats.org/officeDocument/2006/relationships/hyperlink" Target="http://bolsa.diariodeleon.es/noticias-actualidad/noticias/Santander-le-entrega-otro-fondo-a-Lola-Solana-tras-el-exito-del-Small-Caps--0420180611121711.html" TargetMode="External"/><Relationship Id="rId4" Type="http://schemas.openxmlformats.org/officeDocument/2006/relationships/hyperlink" Target="http://www.corresponsables.com/actualidad/spainsif-codigo-europeo-transparencia-inversion-sostenible" TargetMode="External"/><Relationship Id="rId9" Type="http://schemas.openxmlformats.org/officeDocument/2006/relationships/hyperlink" Target="https://cincodias.elpais.com/cincodias/2018/06/19/mercados/1529408621_510663.html" TargetMode="External"/><Relationship Id="rId14" Type="http://schemas.openxmlformats.org/officeDocument/2006/relationships/hyperlink" Target="https://es.fundspeople.com/news/la-isr-y-los-ods-jornada-de-clausura-de-la-semana-de-la-isr-organizada-por-spainsif" TargetMode="External"/><Relationship Id="rId22" Type="http://schemas.openxmlformats.org/officeDocument/2006/relationships/hyperlink" Target="https://www.elimparcial.es/noticia/190606/economia/santander-lanza-un-nuevo-fondo-de-inversion-sostenible-gestionado-por-lola-solana.html" TargetMode="External"/><Relationship Id="rId27" Type="http://schemas.openxmlformats.org/officeDocument/2006/relationships/hyperlink" Target="http://www.futuroafondo.com/es/etiquetas/inversion-responsable" TargetMode="External"/><Relationship Id="rId30" Type="http://schemas.openxmlformats.org/officeDocument/2006/relationships/hyperlink" Target="https://intereconomia.com/empresas/banca/lola-solana-la-estrella-de-banco-santander-gestiona-un-nuevo-fondo-sostenible-20180611-1326/" TargetMode="External"/><Relationship Id="rId35" Type="http://schemas.openxmlformats.org/officeDocument/2006/relationships/hyperlink" Target="https://elasesorfinanciero.com/inversiones-alternativas-para-la-eafi-demanda-del-cliente-institucional-y-opcion-de-futuro-para-el-individual/" TargetMode="External"/><Relationship Id="rId43" Type="http://schemas.openxmlformats.org/officeDocument/2006/relationships/hyperlink" Target="http://www.lavanguardia.com/vida/20180522/443764939017/la-comunidad-porelclima-invita-a-comprar-de-forma-responsable-con-el-desafio-greenfriday-del-1-al-10-de-junio.html" TargetMode="Externa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8" Type="http://schemas.openxmlformats.org/officeDocument/2006/relationships/hyperlink" Target="https://www.20minutos.es/noticia/3310398/0/fondos-inversion-sostenible-responsable-que-son-tipos-clasificacion-espana/" TargetMode="External"/><Relationship Id="rId13" Type="http://schemas.openxmlformats.org/officeDocument/2006/relationships/hyperlink" Target="https://www.merca2.es/allianz-evangelizar-inversion-sostenible/" TargetMode="External"/><Relationship Id="rId18" Type="http://schemas.openxmlformats.org/officeDocument/2006/relationships/hyperlink" Target="https://es.fundspeople.com/news/fondos-espanoles-que-acumulan-un-30-de-rendimiento-en-cinco-anos-a-golpe-de-isr" TargetMode="External"/><Relationship Id="rId3" Type="http://schemas.openxmlformats.org/officeDocument/2006/relationships/hyperlink" Target="https://diarioresponsable.com/noticias/26264-isr-lazard-freres-exige-a-sus-analistas-informes-de-huella-de-carbono-y-transicion-energetica" TargetMode="External"/><Relationship Id="rId21" Type="http://schemas.openxmlformats.org/officeDocument/2006/relationships/hyperlink" Target="https://www.lancelotdigital.com/lanzarote/reserva-de-la-biosfera-organiza-dos-charlas-sobre-politicas-empresariales" TargetMode="External"/><Relationship Id="rId7" Type="http://schemas.openxmlformats.org/officeDocument/2006/relationships/hyperlink" Target="https://www.agorarsc.org/spainsif-encuentro-con-philippe-zaouati-8-mayo/" TargetMode="External"/><Relationship Id="rId12" Type="http://schemas.openxmlformats.org/officeDocument/2006/relationships/hyperlink" Target="https://cincodias.elpais.com/cincodias/2018/04/17/midinero/1523988042_140954.html" TargetMode="External"/><Relationship Id="rId17" Type="http://schemas.openxmlformats.org/officeDocument/2006/relationships/hyperlink" Target="http://www.europapress.es/epsocial/responsables/noticia-red-espanola-pacto-mundial-realiza-encuesta-online-papel-empresa-desarrollo-sostenible-20180409112832.html" TargetMode="External"/><Relationship Id="rId2" Type="http://schemas.openxmlformats.org/officeDocument/2006/relationships/hyperlink" Target="https://www.rankiapro.com/isr-un-binomio-rentabilidad-riesgo-atractivo-a-largo-plazo-la-vision-de-lazard/" TargetMode="External"/><Relationship Id="rId16" Type="http://schemas.openxmlformats.org/officeDocument/2006/relationships/hyperlink" Target="http://www.futuroafondo.com/es/noticia/en-espana-ya-hay-26-fondos-sostenibles-tras-registrarse-tres-nuevos" TargetMode="External"/><Relationship Id="rId20" Type="http://schemas.openxmlformats.org/officeDocument/2006/relationships/hyperlink" Target="https://www.noticanarias.com/lanzarote-la-reserva-de-la-biosfera-organiza-dos-charlas-sobre-politicas-empresariales-basadas-en-los-objetivos-de-desarrollo-sostenible-de-la-onu-y-el-movimiento-global-b-corporation/" TargetMode="External"/><Relationship Id="rId1" Type="http://schemas.openxmlformats.org/officeDocument/2006/relationships/hyperlink" Target="http://www.corresponsables.com/actualidad/lazard-inversion-sostenible" TargetMode="External"/><Relationship Id="rId6" Type="http://schemas.openxmlformats.org/officeDocument/2006/relationships/hyperlink" Target="https://www.agorarsc.org/consultant-global-corruption-surveys/" TargetMode="External"/><Relationship Id="rId11" Type="http://schemas.openxmlformats.org/officeDocument/2006/relationships/hyperlink" Target="https://cincodias.elpais.com/cincodias/2018/04/17/midinero/1523989676_150460.html" TargetMode="External"/><Relationship Id="rId24" Type="http://schemas.openxmlformats.org/officeDocument/2006/relationships/hyperlink" Target="http://www.lavanguardia.com/economia/20180401/442013225836/dinero-inversiones-rentables-eticas.html" TargetMode="External"/><Relationship Id="rId5" Type="http://schemas.openxmlformats.org/officeDocument/2006/relationships/hyperlink" Target="https://diarioresponsable.com/agenda-rse/26252-changing-the-climate-of-finance" TargetMode="External"/><Relationship Id="rId15" Type="http://schemas.openxmlformats.org/officeDocument/2006/relationships/hyperlink" Target="https://www.bbva.com/es/fondos-inversion-socialmente-responsables-rentables-largo-plazo/" TargetMode="External"/><Relationship Id="rId23" Type="http://schemas.openxmlformats.org/officeDocument/2006/relationships/hyperlink" Target="https://www.quefondos.com/es/fondos/analisis/refs/ref_02350-fondos-rentan-mas-cinco-inversion-sostenible.html" TargetMode="External"/><Relationship Id="rId10" Type="http://schemas.openxmlformats.org/officeDocument/2006/relationships/hyperlink" Target="https://cincodias.elpais.com/cincodias/2018/04/18/mercados/1524069268_444395.html" TargetMode="External"/><Relationship Id="rId19" Type="http://schemas.openxmlformats.org/officeDocument/2006/relationships/hyperlink" Target="http://www.cabildodelanzarote.com/tema.asp?idTema=17&amp;sec=Noticias&amp;idCont=20697" TargetMode="External"/><Relationship Id="rId4" Type="http://schemas.openxmlformats.org/officeDocument/2006/relationships/hyperlink" Target="https://diarioresponsable.com/agenda-rse/26255-transversa-2018" TargetMode="External"/><Relationship Id="rId9" Type="http://schemas.openxmlformats.org/officeDocument/2006/relationships/hyperlink" Target="https://cincodias.elpais.com/cincodias/2018/04/18/midinero/1524062356_774254.html" TargetMode="External"/><Relationship Id="rId14" Type="http://schemas.openxmlformats.org/officeDocument/2006/relationships/hyperlink" Target="http://www.fundssociety.com/es/noticias/negocio/tres-nuevos-fondos-sostenibles-de-asociados-a-spainsif-se-registraron-en-la-cnmv" TargetMode="External"/><Relationship Id="rId22" Type="http://schemas.openxmlformats.org/officeDocument/2006/relationships/hyperlink" Target="https://www.invertia.com/es/-/fondos-que-rentan-mas-de-un-30-a-cinco-anos-a-golpe-de-inversion-sostenibl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linkedin.com/feed/update/urn:li:activity:6392669288792100864" TargetMode="External"/><Relationship Id="rId2" Type="http://schemas.openxmlformats.org/officeDocument/2006/relationships/hyperlink" Target="https://www.linkedin.com/feed/update/urn:li:activity:6392672329918349312" TargetMode="External"/><Relationship Id="rId1" Type="http://schemas.openxmlformats.org/officeDocument/2006/relationships/hyperlink" Target="https://www.linkedin.com/feed/update/urn:li:activity:6394108776944791552" TargetMode="External"/><Relationship Id="rId6" Type="http://schemas.openxmlformats.org/officeDocument/2006/relationships/hyperlink" Target="https://www.linkedin.com/feed/update/urn:li:activity:6386007558347325440" TargetMode="External"/><Relationship Id="rId5" Type="http://schemas.openxmlformats.org/officeDocument/2006/relationships/hyperlink" Target="https://www.linkedin.com/feed/update/urn:li:activity:6387897635512156160" TargetMode="External"/><Relationship Id="rId4" Type="http://schemas.openxmlformats.org/officeDocument/2006/relationships/hyperlink" Target="https://www.linkedin.com/feed/update/urn:li:activity:6389584269483741184" TargetMode="External"/></Relationships>
</file>

<file path=xl/worksheets/_rels/sheet7.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8.xml.rels><?xml version="1.0" encoding="UTF-8" standalone="yes"?>
<Relationships xmlns="http://schemas.openxmlformats.org/package/2006/relationships"><Relationship Id="rId8" Type="http://schemas.openxmlformats.org/officeDocument/2006/relationships/hyperlink" Target="http://www.comunicarseweb.com.ar/noticia/lanzan-nueva-version-del-codigo-europeo-de-transparencia" TargetMode="External"/><Relationship Id="rId13" Type="http://schemas.openxmlformats.org/officeDocument/2006/relationships/hyperlink" Target="http://www.europapress.es/epsocial/responsables/noticia-spainsif-explora-mano-mirova-innovacion-social-medioambiental-desempeno-valores-empresa-20180316171648.html" TargetMode="External"/><Relationship Id="rId18" Type="http://schemas.openxmlformats.org/officeDocument/2006/relationships/hyperlink" Target="https://economia3.com/2018/03/21/137126-la-sicav-dp-etica-valor-compartidorentabilidad-195/" TargetMode="External"/><Relationship Id="rId26" Type="http://schemas.openxmlformats.org/officeDocument/2006/relationships/hyperlink" Target="http://www.corresponsables.com/actualidad/dp-etica-valor-compartido-isr" TargetMode="External"/><Relationship Id="rId3" Type="http://schemas.openxmlformats.org/officeDocument/2006/relationships/hyperlink" Target="http://www.levante-emv.com/responsabilidad-social-corporativa/2018/02/27/creditos-sostenibles-via-financiacion-verde/1684946.html" TargetMode="External"/><Relationship Id="rId21" Type="http://schemas.openxmlformats.org/officeDocument/2006/relationships/hyperlink" Target="https://www.culturarsc.com/2018/03/22/innovacion-social-medioambiental-obtener-mas-rentabilidad-los-mercados-financieros-la-experiencia-mirova/" TargetMode="External"/><Relationship Id="rId34" Type="http://schemas.openxmlformats.org/officeDocument/2006/relationships/hyperlink" Target="https://www.linkedin.com/feed/update/urn:li:activity:6386007558347325440" TargetMode="External"/><Relationship Id="rId7" Type="http://schemas.openxmlformats.org/officeDocument/2006/relationships/hyperlink" Target="https://es.fundspeople.com/events/desayuno-spainsif-seeking-environmental-and-social-innovation-to-get-higher-performance-in-equities-mirova-expertise" TargetMode="External"/><Relationship Id="rId12" Type="http://schemas.openxmlformats.org/officeDocument/2006/relationships/hyperlink" Target="http://www.europapress.es/epsocial/responsables/noticia-spainsif-explora-mano-mirova-innovacion-social-medioambiental-desempeno-valores-empresa-20180316171648.html" TargetMode="External"/><Relationship Id="rId17" Type="http://schemas.openxmlformats.org/officeDocument/2006/relationships/hyperlink" Target="https://valenciaplaza.com/la-primera-sicav-de-inversion-socialmente-responsable-ofrece-casi-un-2-de-interes" TargetMode="External"/><Relationship Id="rId25" Type="http://schemas.openxmlformats.org/officeDocument/2006/relationships/hyperlink" Target="http://www.publico.es/economia/bonos-verdes-bonos-sociales-sector-publico-espanol-suma-3800-millones-deuda-etica.html" TargetMode="External"/><Relationship Id="rId33" Type="http://schemas.openxmlformats.org/officeDocument/2006/relationships/hyperlink" Target="https://www.linkedin.com/feed/update/urn:li:activity:6376415475995279360" TargetMode="External"/><Relationship Id="rId2" Type="http://schemas.openxmlformats.org/officeDocument/2006/relationships/hyperlink" Target="https://www.quefondos.com/es/fondos/analisis/refs/ref_02337-contribuir-financiacion-proyectos-sostenibles-rentabilizacion-inversion-bonos-verdes.html" TargetMode="External"/><Relationship Id="rId16" Type="http://schemas.openxmlformats.org/officeDocument/2006/relationships/hyperlink" Target="http://www.europapress.es/epsocial/responsables/noticia-primera-sicav-espanola-inversion-socialmente-responsable-consigue-rentabilidad-casi-primer-ano-20180326121233.html" TargetMode="External"/><Relationship Id="rId20" Type="http://schemas.openxmlformats.org/officeDocument/2006/relationships/hyperlink" Target="https://www.culturarsc.com/2018/03/21/feliz-cumpleanos-dp-etica-valor-compartido/" TargetMode="External"/><Relationship Id="rId29" Type="http://schemas.openxmlformats.org/officeDocument/2006/relationships/hyperlink" Target="https://www.linkedin.com/feed/update/urn:li:activity:6381417168969433089" TargetMode="External"/><Relationship Id="rId1" Type="http://schemas.openxmlformats.org/officeDocument/2006/relationships/hyperlink" Target="https://es.fundspeople.com/news/invertir-en-el-poder-gris" TargetMode="External"/><Relationship Id="rId6" Type="http://schemas.openxmlformats.org/officeDocument/2006/relationships/hyperlink" Target="http://www.corresponsables.com/actualidad/cliente-palanca-consumo-responsable" TargetMode="External"/><Relationship Id="rId11" Type="http://schemas.openxmlformats.org/officeDocument/2006/relationships/hyperlink" Target="http://www.corresponsables.com/actualidad/pacto-mundial-encuesta-agenda-2030-empresas" TargetMode="External"/><Relationship Id="rId24" Type="http://schemas.openxmlformats.org/officeDocument/2006/relationships/hyperlink" Target="https://www.finect.com/grupos/vontobel_asset_management/articulos/led-it-be-como-sustituir-bombillas-tradicionales-beneficiar-cartera-inversion" TargetMode="External"/><Relationship Id="rId32" Type="http://schemas.openxmlformats.org/officeDocument/2006/relationships/hyperlink" Target="https://www.linkedin.com/feed/update/urn:li:activity:6377858812220575744" TargetMode="External"/><Relationship Id="rId5" Type="http://schemas.openxmlformats.org/officeDocument/2006/relationships/hyperlink" Target="http://www.fundssociety.com/es/noticias/mercados/las-finanzas-sostenibles-tardaran-decadas-en-ser-el-estandar-de-inversion-en" TargetMode="External"/><Relationship Id="rId15" Type="http://schemas.openxmlformats.org/officeDocument/2006/relationships/hyperlink" Target="https://www.ecoticias.com/medio-ambiente/181993/Spainsif-busca-innovacion-medioambiental" TargetMode="External"/><Relationship Id="rId23" Type="http://schemas.openxmlformats.org/officeDocument/2006/relationships/hyperlink" Target="http://www.europapress.es/epsocial/responsables/noticia-primera-sicav-espanola-inversion-socialmente-responsable-consigue-rentabilidad-casi-primer-ano-20180326121233.html" TargetMode="External"/><Relationship Id="rId28" Type="http://schemas.openxmlformats.org/officeDocument/2006/relationships/hyperlink" Target="https://www.linkedin.com/feed/update/urn:li:activity:6381795294769664000" TargetMode="External"/><Relationship Id="rId10" Type="http://schemas.openxmlformats.org/officeDocument/2006/relationships/hyperlink" Target="https://diarioresponsable.com/noticias/26043-la-agenda-2030-del-sector-privado-a-examen" TargetMode="External"/><Relationship Id="rId19" Type="http://schemas.openxmlformats.org/officeDocument/2006/relationships/hyperlink" Target="https://elasesorfinanciero.com/dp-etica-valor-compartido-primera-sicav-espanola-inversion-socialmente-responsable-cumple-ano/" TargetMode="External"/><Relationship Id="rId31" Type="http://schemas.openxmlformats.org/officeDocument/2006/relationships/hyperlink" Target="https://www.linkedin.com/feed/update/urn:li:activity:6378947003224719360" TargetMode="External"/><Relationship Id="rId4" Type="http://schemas.openxmlformats.org/officeDocument/2006/relationships/hyperlink" Target="https://diarioresponsable.com/agenda-rse/26009-seeking-environmental-and-social-innovation" TargetMode="External"/><Relationship Id="rId9" Type="http://schemas.openxmlformats.org/officeDocument/2006/relationships/hyperlink" Target="https://es.fundspeople.com/news/los-nuevos-fondos-espanoles-blockbuster-funds-people-de-2018" TargetMode="External"/><Relationship Id="rId14" Type="http://schemas.openxmlformats.org/officeDocument/2006/relationships/hyperlink" Target="http://www.corresponsables.com/actualidad/innovacion-mirova-spainsif" TargetMode="External"/><Relationship Id="rId22" Type="http://schemas.openxmlformats.org/officeDocument/2006/relationships/hyperlink" Target="https://fundsandmarkets.dirigentesdigital.com/articulo/fondos/43792/43792.html" TargetMode="External"/><Relationship Id="rId27" Type="http://schemas.openxmlformats.org/officeDocument/2006/relationships/hyperlink" Target="https://www.linkedin.com/feed/update/urn:li:activity:6384701613969326081" TargetMode="External"/><Relationship Id="rId30" Type="http://schemas.openxmlformats.org/officeDocument/2006/relationships/hyperlink" Target="https://www.linkedin.com/feed/update/urn:li:activity:6380370725320032256" TargetMode="External"/></Relationships>
</file>

<file path=xl/worksheets/_rels/sheet9.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2A7A7-385B-3148-B6BD-5D59E5197A33}">
  <dimension ref="A1:F37"/>
  <sheetViews>
    <sheetView tabSelected="1" topLeftCell="A40" workbookViewId="0">
      <selection activeCell="C36" sqref="C36"/>
    </sheetView>
  </sheetViews>
  <sheetFormatPr baseColWidth="10" defaultRowHeight="15.75"/>
  <cols>
    <col min="1" max="1" width="50" customWidth="1"/>
    <col min="2" max="2" width="41.125" customWidth="1"/>
    <col min="3" max="3" width="48" customWidth="1"/>
    <col min="4" max="4" width="46.5" style="3" customWidth="1"/>
  </cols>
  <sheetData>
    <row r="1" spans="1:4">
      <c r="A1" s="116" t="s">
        <v>530</v>
      </c>
      <c r="B1" s="116" t="s">
        <v>531</v>
      </c>
      <c r="C1" s="116" t="s">
        <v>533</v>
      </c>
      <c r="D1" s="117" t="s">
        <v>534</v>
      </c>
    </row>
    <row r="2" spans="1:4">
      <c r="A2" s="125" t="s">
        <v>532</v>
      </c>
      <c r="B2" s="116" t="s">
        <v>535</v>
      </c>
      <c r="C2" s="118" t="s">
        <v>536</v>
      </c>
      <c r="D2" s="117" t="s">
        <v>606</v>
      </c>
    </row>
    <row r="3" spans="1:4">
      <c r="A3" s="125"/>
      <c r="B3" s="116"/>
      <c r="C3" s="118" t="s">
        <v>551</v>
      </c>
      <c r="D3" s="117" t="s">
        <v>555</v>
      </c>
    </row>
    <row r="4" spans="1:4">
      <c r="A4" s="125"/>
      <c r="B4" s="116"/>
      <c r="C4" s="118" t="s">
        <v>537</v>
      </c>
      <c r="D4" s="117"/>
    </row>
    <row r="5" spans="1:4" ht="47.25">
      <c r="A5" s="125"/>
      <c r="B5" s="116" t="s">
        <v>538</v>
      </c>
      <c r="C5" s="121" t="s">
        <v>611</v>
      </c>
      <c r="D5" s="117" t="s">
        <v>610</v>
      </c>
    </row>
    <row r="6" spans="1:4">
      <c r="A6" s="125"/>
      <c r="B6" s="116" t="s">
        <v>539</v>
      </c>
      <c r="C6" s="118" t="s">
        <v>540</v>
      </c>
      <c r="D6" s="117" t="s">
        <v>541</v>
      </c>
    </row>
    <row r="7" spans="1:4">
      <c r="A7" s="125"/>
      <c r="B7" s="116" t="s">
        <v>542</v>
      </c>
      <c r="C7" s="118" t="s">
        <v>543</v>
      </c>
      <c r="D7" s="117" t="s">
        <v>550</v>
      </c>
    </row>
    <row r="8" spans="1:4">
      <c r="A8" s="125"/>
      <c r="B8" s="116" t="s">
        <v>544</v>
      </c>
      <c r="C8" s="119" t="s">
        <v>545</v>
      </c>
      <c r="D8" s="117"/>
    </row>
    <row r="9" spans="1:4" ht="47.25">
      <c r="A9" s="125"/>
      <c r="B9" s="116" t="s">
        <v>546</v>
      </c>
      <c r="C9" s="118" t="s">
        <v>547</v>
      </c>
      <c r="D9" s="117" t="s">
        <v>607</v>
      </c>
    </row>
    <row r="10" spans="1:4">
      <c r="A10" s="125"/>
      <c r="B10" s="116" t="s">
        <v>548</v>
      </c>
      <c r="C10" s="120" t="s">
        <v>549</v>
      </c>
      <c r="D10" s="117"/>
    </row>
    <row r="11" spans="1:4" ht="33" customHeight="1">
      <c r="A11" s="125" t="s">
        <v>552</v>
      </c>
      <c r="B11" s="116" t="s">
        <v>553</v>
      </c>
      <c r="C11" s="121" t="s">
        <v>612</v>
      </c>
      <c r="D11" s="117" t="s">
        <v>613</v>
      </c>
    </row>
    <row r="12" spans="1:4" ht="63">
      <c r="A12" s="125"/>
      <c r="B12" s="116" t="s">
        <v>554</v>
      </c>
      <c r="C12" s="118" t="s">
        <v>608</v>
      </c>
      <c r="D12" s="117" t="s">
        <v>615</v>
      </c>
    </row>
    <row r="13" spans="1:4" ht="47.25">
      <c r="A13" s="125"/>
      <c r="B13" s="116" t="s">
        <v>556</v>
      </c>
      <c r="C13" s="121" t="s">
        <v>557</v>
      </c>
      <c r="D13" s="117"/>
    </row>
    <row r="14" spans="1:4">
      <c r="A14" s="125"/>
      <c r="B14" s="116" t="s">
        <v>558</v>
      </c>
      <c r="C14" s="118" t="s">
        <v>559</v>
      </c>
      <c r="D14" s="117"/>
    </row>
    <row r="15" spans="1:4" ht="47.25">
      <c r="A15" s="125"/>
      <c r="B15" s="116" t="s">
        <v>561</v>
      </c>
      <c r="C15" s="122" t="s">
        <v>564</v>
      </c>
      <c r="D15" s="117" t="s">
        <v>560</v>
      </c>
    </row>
    <row r="16" spans="1:4" ht="31.5">
      <c r="A16" s="125"/>
      <c r="B16" s="117" t="s">
        <v>562</v>
      </c>
      <c r="C16" s="118" t="s">
        <v>617</v>
      </c>
      <c r="D16" s="117"/>
    </row>
    <row r="17" spans="1:6" ht="31.5">
      <c r="A17" s="125"/>
      <c r="B17" s="116" t="s">
        <v>563</v>
      </c>
      <c r="C17" s="121" t="s">
        <v>614</v>
      </c>
      <c r="D17" s="117"/>
    </row>
    <row r="18" spans="1:6" ht="63">
      <c r="A18" s="125"/>
      <c r="B18" s="116" t="s">
        <v>565</v>
      </c>
      <c r="C18" s="121" t="s">
        <v>618</v>
      </c>
      <c r="D18" s="117" t="s">
        <v>571</v>
      </c>
    </row>
    <row r="19" spans="1:6" ht="47.25">
      <c r="A19" s="125"/>
      <c r="B19" s="116" t="s">
        <v>566</v>
      </c>
      <c r="C19" s="121" t="s">
        <v>619</v>
      </c>
      <c r="D19" s="117"/>
    </row>
    <row r="20" spans="1:6" ht="31.5">
      <c r="A20" s="125"/>
      <c r="B20" s="116" t="s">
        <v>567</v>
      </c>
      <c r="C20" s="121" t="s">
        <v>568</v>
      </c>
      <c r="D20" s="117"/>
    </row>
    <row r="21" spans="1:6" ht="31.5">
      <c r="A21" s="125"/>
      <c r="B21" s="116" t="s">
        <v>569</v>
      </c>
      <c r="C21" s="121" t="s">
        <v>570</v>
      </c>
      <c r="D21" s="117" t="s">
        <v>620</v>
      </c>
    </row>
    <row r="22" spans="1:6" ht="78.75">
      <c r="A22" s="125"/>
      <c r="B22" s="116" t="s">
        <v>572</v>
      </c>
      <c r="C22" s="121" t="s">
        <v>621</v>
      </c>
      <c r="D22" s="117" t="s">
        <v>622</v>
      </c>
      <c r="E22" s="1">
        <f>'Cuadro Junio 2018'!D5+'Cuadro Abril 2018'!D5+'Cuadro Marzo 2018'!D5+'Cuadro Febrero 2018'!D5+'Cuadro Enero 2018'!D5+'Cuadro Diciembre 2017'!D5+'Noviembre 2017'!E34+'Octubre 2017'!D38</f>
        <v>27903422</v>
      </c>
      <c r="F22">
        <f>'Cuadro Junio 2018'!H5+'Cuadro Abril 2018'!H5+'Cuadro Marzo 2018'!H5+'Cuadro Febrero 2018'!H5+'Cuadro Enero 2018'!H5+'Cuadro Diciembre 2017'!H5+'Noviembre 2017'!G34+'Octubre 2017'!F38</f>
        <v>968629</v>
      </c>
    </row>
    <row r="23" spans="1:6" ht="47.25">
      <c r="A23" s="125"/>
      <c r="B23" s="116" t="s">
        <v>573</v>
      </c>
      <c r="C23" s="122" t="s">
        <v>574</v>
      </c>
      <c r="D23" s="117"/>
    </row>
    <row r="24" spans="1:6" ht="31.5">
      <c r="A24" s="125"/>
      <c r="B24" s="116" t="s">
        <v>575</v>
      </c>
      <c r="C24" s="121" t="s">
        <v>576</v>
      </c>
      <c r="D24" s="117"/>
    </row>
    <row r="25" spans="1:6" ht="31.5">
      <c r="A25" s="125"/>
      <c r="B25" s="117" t="s">
        <v>577</v>
      </c>
      <c r="C25" s="121" t="s">
        <v>578</v>
      </c>
      <c r="D25" s="117" t="s">
        <v>579</v>
      </c>
    </row>
    <row r="26" spans="1:6" ht="31.5">
      <c r="A26" s="125"/>
      <c r="B26" s="116" t="s">
        <v>580</v>
      </c>
      <c r="C26" s="122" t="s">
        <v>581</v>
      </c>
      <c r="D26" s="117"/>
    </row>
    <row r="27" spans="1:6" ht="47.25">
      <c r="A27" s="125"/>
      <c r="B27" s="116" t="s">
        <v>582</v>
      </c>
      <c r="C27" s="121" t="s">
        <v>583</v>
      </c>
      <c r="D27" s="117" t="s">
        <v>584</v>
      </c>
    </row>
    <row r="28" spans="1:6" ht="63">
      <c r="A28" s="125"/>
      <c r="B28" s="116" t="s">
        <v>585</v>
      </c>
      <c r="C28" s="122" t="s">
        <v>586</v>
      </c>
      <c r="D28" s="117"/>
    </row>
    <row r="29" spans="1:6" ht="47.25">
      <c r="A29" s="125" t="s">
        <v>587</v>
      </c>
      <c r="B29" s="116" t="s">
        <v>588</v>
      </c>
      <c r="C29" s="121" t="s">
        <v>589</v>
      </c>
      <c r="D29" s="117" t="s">
        <v>623</v>
      </c>
    </row>
    <row r="30" spans="1:6" ht="47.25">
      <c r="A30" s="125"/>
      <c r="B30" s="116" t="s">
        <v>590</v>
      </c>
      <c r="C30" s="121" t="s">
        <v>591</v>
      </c>
      <c r="D30" s="117" t="s">
        <v>624</v>
      </c>
    </row>
    <row r="31" spans="1:6" ht="63">
      <c r="A31" s="125"/>
      <c r="B31" s="117" t="s">
        <v>592</v>
      </c>
      <c r="C31" s="121" t="s">
        <v>625</v>
      </c>
      <c r="D31" s="117" t="s">
        <v>626</v>
      </c>
    </row>
    <row r="32" spans="1:6">
      <c r="A32" s="125" t="s">
        <v>601</v>
      </c>
      <c r="B32" s="116" t="s">
        <v>593</v>
      </c>
      <c r="C32" s="120" t="s">
        <v>594</v>
      </c>
      <c r="D32" s="117"/>
    </row>
    <row r="33" spans="1:4">
      <c r="A33" s="125"/>
      <c r="B33" s="116" t="s">
        <v>595</v>
      </c>
      <c r="C33" s="119" t="s">
        <v>596</v>
      </c>
      <c r="D33" s="117"/>
    </row>
    <row r="34" spans="1:4" ht="31.5">
      <c r="A34" s="125"/>
      <c r="B34" s="116" t="s">
        <v>597</v>
      </c>
      <c r="C34" s="123" t="s">
        <v>602</v>
      </c>
      <c r="D34" s="117"/>
    </row>
    <row r="35" spans="1:4" ht="31.5">
      <c r="A35" s="125"/>
      <c r="B35" s="116" t="s">
        <v>598</v>
      </c>
      <c r="C35" s="123" t="s">
        <v>599</v>
      </c>
      <c r="D35" s="117"/>
    </row>
    <row r="36" spans="1:4" ht="31.5">
      <c r="A36" s="125"/>
      <c r="B36" s="117" t="s">
        <v>600</v>
      </c>
      <c r="C36" s="120" t="s">
        <v>627</v>
      </c>
      <c r="D36" s="117"/>
    </row>
    <row r="37" spans="1:4">
      <c r="B37" s="3"/>
    </row>
  </sheetData>
  <mergeCells count="4">
    <mergeCell ref="A2:A10"/>
    <mergeCell ref="A11:A28"/>
    <mergeCell ref="A32:A36"/>
    <mergeCell ref="A29:A3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63"/>
  <sheetViews>
    <sheetView workbookViewId="0">
      <selection activeCell="B5" sqref="B5"/>
    </sheetView>
  </sheetViews>
  <sheetFormatPr baseColWidth="10" defaultRowHeight="15.75"/>
  <cols>
    <col min="1" max="1" width="83.5" bestFit="1" customWidth="1"/>
    <col min="2" max="2" width="48.875" customWidth="1"/>
    <col min="3" max="3" width="17" bestFit="1" customWidth="1"/>
    <col min="4" max="4" width="23.625" bestFit="1" customWidth="1"/>
    <col min="5" max="5" width="22.5" bestFit="1" customWidth="1"/>
    <col min="6" max="6" width="19.125" bestFit="1" customWidth="1"/>
  </cols>
  <sheetData>
    <row r="1" spans="1:13">
      <c r="A1" s="68" t="s">
        <v>10</v>
      </c>
      <c r="B1" s="69" t="s">
        <v>0</v>
      </c>
      <c r="C1" s="69" t="s">
        <v>1</v>
      </c>
      <c r="D1" s="69" t="s">
        <v>2</v>
      </c>
      <c r="E1" s="69" t="s">
        <v>3</v>
      </c>
      <c r="F1" s="69" t="s">
        <v>4</v>
      </c>
      <c r="G1" s="11"/>
      <c r="H1" s="11"/>
      <c r="I1" s="11"/>
      <c r="J1" s="11"/>
      <c r="K1" s="11"/>
      <c r="L1" s="11"/>
      <c r="M1" s="11"/>
    </row>
    <row r="2" spans="1:13">
      <c r="A2" s="77" t="s">
        <v>268</v>
      </c>
      <c r="B2" s="11" t="s">
        <v>269</v>
      </c>
      <c r="C2" s="75">
        <v>12132</v>
      </c>
      <c r="D2" s="75">
        <v>13923</v>
      </c>
      <c r="E2" s="76">
        <v>1297</v>
      </c>
      <c r="F2" s="76">
        <v>1297</v>
      </c>
      <c r="G2" s="11"/>
      <c r="H2" s="11"/>
      <c r="I2" s="11"/>
      <c r="J2" s="11"/>
      <c r="K2" s="11"/>
      <c r="L2" s="11"/>
      <c r="M2" s="11"/>
    </row>
    <row r="3" spans="1:13">
      <c r="A3" s="77" t="s">
        <v>270</v>
      </c>
      <c r="B3" s="11" t="s">
        <v>15</v>
      </c>
      <c r="C3" s="75">
        <v>95039</v>
      </c>
      <c r="D3" s="75">
        <v>245058</v>
      </c>
      <c r="E3" s="76">
        <v>4043</v>
      </c>
      <c r="F3" s="76">
        <v>4043</v>
      </c>
      <c r="G3" s="11"/>
      <c r="H3" s="11"/>
      <c r="I3" s="11"/>
      <c r="J3" s="11"/>
      <c r="K3" s="11"/>
      <c r="L3" s="11"/>
      <c r="M3" s="11"/>
    </row>
    <row r="4" spans="1:13">
      <c r="A4" s="77" t="s">
        <v>271</v>
      </c>
      <c r="B4" s="11" t="s">
        <v>32</v>
      </c>
      <c r="C4" s="75">
        <v>38369</v>
      </c>
      <c r="D4" s="75">
        <v>82728</v>
      </c>
      <c r="E4" s="76">
        <v>1367</v>
      </c>
      <c r="F4" s="76">
        <v>1367</v>
      </c>
      <c r="G4" s="11"/>
      <c r="H4" s="11"/>
      <c r="I4" s="11"/>
      <c r="J4" s="11"/>
      <c r="K4" s="11"/>
      <c r="L4" s="11"/>
      <c r="M4" s="11"/>
    </row>
    <row r="5" spans="1:13">
      <c r="A5" s="77" t="s">
        <v>272</v>
      </c>
      <c r="B5" s="70" t="s">
        <v>273</v>
      </c>
      <c r="C5" s="11">
        <v>922951</v>
      </c>
      <c r="D5" s="11">
        <v>4454839</v>
      </c>
      <c r="E5" s="76">
        <v>21114</v>
      </c>
      <c r="F5" s="76">
        <v>39678</v>
      </c>
      <c r="G5" s="11"/>
      <c r="H5" s="11"/>
      <c r="I5" s="11"/>
      <c r="J5" s="11"/>
      <c r="K5" s="11"/>
      <c r="L5" s="11"/>
      <c r="M5" s="11"/>
    </row>
    <row r="6" spans="1:13" ht="31.5">
      <c r="A6" s="77" t="s">
        <v>274</v>
      </c>
      <c r="B6" s="11" t="s">
        <v>6</v>
      </c>
      <c r="C6" s="75">
        <v>4885724</v>
      </c>
      <c r="D6" s="75">
        <v>24428620</v>
      </c>
      <c r="E6" s="76">
        <v>90</v>
      </c>
      <c r="F6" s="76">
        <v>2038</v>
      </c>
      <c r="G6" s="11"/>
      <c r="H6" s="11"/>
      <c r="I6" s="11"/>
      <c r="J6" s="11"/>
      <c r="K6" s="11"/>
      <c r="L6" s="11"/>
      <c r="M6" s="11"/>
    </row>
    <row r="7" spans="1:13" ht="31.5">
      <c r="A7" s="70" t="s">
        <v>274</v>
      </c>
      <c r="B7" s="11" t="s">
        <v>275</v>
      </c>
      <c r="C7" s="75">
        <v>2792</v>
      </c>
      <c r="D7" s="75">
        <v>13968</v>
      </c>
      <c r="E7" s="76">
        <v>2088</v>
      </c>
      <c r="F7" s="76">
        <v>696</v>
      </c>
      <c r="G7" s="11"/>
      <c r="H7" s="11"/>
      <c r="I7" s="11"/>
      <c r="J7" s="11"/>
      <c r="K7" s="11"/>
      <c r="L7" s="11"/>
      <c r="M7" s="11"/>
    </row>
    <row r="8" spans="1:13">
      <c r="A8" s="77" t="s">
        <v>276</v>
      </c>
      <c r="B8" s="11" t="s">
        <v>277</v>
      </c>
      <c r="C8" s="75">
        <v>4324</v>
      </c>
      <c r="D8" s="75">
        <v>21626</v>
      </c>
      <c r="E8" s="76">
        <v>666</v>
      </c>
      <c r="F8" s="76">
        <v>444</v>
      </c>
      <c r="G8" s="11"/>
      <c r="H8" s="11"/>
      <c r="I8" s="11"/>
      <c r="J8" s="11"/>
      <c r="K8" s="11"/>
      <c r="L8" s="11"/>
      <c r="M8" s="11"/>
    </row>
    <row r="9" spans="1:13">
      <c r="A9" s="77" t="s">
        <v>278</v>
      </c>
      <c r="B9" s="11" t="s">
        <v>116</v>
      </c>
      <c r="C9" s="75">
        <v>2592</v>
      </c>
      <c r="D9" s="75">
        <v>12963</v>
      </c>
      <c r="E9" s="76">
        <v>1416</v>
      </c>
      <c r="F9" s="76">
        <v>236</v>
      </c>
      <c r="G9" s="11"/>
      <c r="H9" s="11"/>
      <c r="I9" s="11"/>
      <c r="J9" s="11"/>
      <c r="K9" s="11"/>
      <c r="L9" s="11"/>
      <c r="M9" s="11"/>
    </row>
    <row r="10" spans="1:13">
      <c r="A10" s="77" t="s">
        <v>279</v>
      </c>
      <c r="B10" s="11" t="s">
        <v>107</v>
      </c>
      <c r="C10" s="43">
        <v>2552</v>
      </c>
      <c r="D10" s="43">
        <v>12761</v>
      </c>
      <c r="E10" s="44">
        <v>459</v>
      </c>
      <c r="F10" s="44">
        <v>153</v>
      </c>
      <c r="G10" s="11"/>
      <c r="H10" s="11"/>
      <c r="I10" s="11"/>
      <c r="J10" s="11"/>
      <c r="K10" s="11"/>
      <c r="L10" s="11"/>
      <c r="M10" s="11"/>
    </row>
    <row r="11" spans="1:13">
      <c r="A11" s="77" t="s">
        <v>280</v>
      </c>
      <c r="B11" s="11" t="s">
        <v>107</v>
      </c>
      <c r="C11" s="43">
        <v>2552</v>
      </c>
      <c r="D11" s="43">
        <v>12761</v>
      </c>
      <c r="E11" s="44">
        <v>459</v>
      </c>
      <c r="F11" s="44">
        <v>153</v>
      </c>
      <c r="G11" s="11"/>
      <c r="H11" s="11"/>
      <c r="I11" s="11"/>
      <c r="J11" s="11"/>
      <c r="K11" s="11"/>
      <c r="L11" s="11"/>
      <c r="M11" s="11"/>
    </row>
    <row r="12" spans="1:13">
      <c r="A12" s="77" t="s">
        <v>281</v>
      </c>
      <c r="B12" s="11" t="s">
        <v>282</v>
      </c>
      <c r="C12" s="75">
        <v>4293</v>
      </c>
      <c r="D12" s="75">
        <v>8877</v>
      </c>
      <c r="E12" s="76">
        <v>1015</v>
      </c>
      <c r="F12" s="76">
        <v>1015</v>
      </c>
      <c r="G12" s="11"/>
      <c r="H12" s="11"/>
      <c r="I12" s="11"/>
      <c r="J12" s="11"/>
      <c r="K12" s="11"/>
      <c r="L12" s="11"/>
      <c r="M12" s="11"/>
    </row>
    <row r="13" spans="1:13">
      <c r="A13" s="70" t="s">
        <v>281</v>
      </c>
      <c r="B13" s="11" t="s">
        <v>283</v>
      </c>
      <c r="C13" s="75">
        <v>4293</v>
      </c>
      <c r="D13" s="75">
        <v>8877</v>
      </c>
      <c r="E13" s="76">
        <v>1015</v>
      </c>
      <c r="F13" s="76">
        <v>1015</v>
      </c>
      <c r="G13" s="11"/>
      <c r="H13" s="11"/>
      <c r="I13" s="11"/>
      <c r="J13" s="11"/>
      <c r="K13" s="11"/>
      <c r="L13" s="11"/>
      <c r="M13" s="11"/>
    </row>
    <row r="14" spans="1:13">
      <c r="A14" s="70" t="s">
        <v>281</v>
      </c>
      <c r="B14" s="11" t="s">
        <v>284</v>
      </c>
      <c r="C14" s="75">
        <v>4293</v>
      </c>
      <c r="D14" s="75">
        <v>8877</v>
      </c>
      <c r="E14" s="76">
        <v>1015</v>
      </c>
      <c r="F14" s="76">
        <v>1015</v>
      </c>
      <c r="G14" s="11"/>
      <c r="H14" s="11"/>
      <c r="I14" s="11"/>
      <c r="J14" s="11"/>
      <c r="K14" s="11"/>
      <c r="L14" s="11"/>
      <c r="M14" s="11"/>
    </row>
    <row r="15" spans="1:13">
      <c r="A15" s="70" t="s">
        <v>281</v>
      </c>
      <c r="B15" s="11" t="s">
        <v>285</v>
      </c>
      <c r="C15" s="11">
        <v>375530</v>
      </c>
      <c r="D15" s="11">
        <v>1877654</v>
      </c>
      <c r="E15" s="76">
        <v>99</v>
      </c>
      <c r="F15" s="76">
        <v>2784</v>
      </c>
      <c r="G15" s="11"/>
      <c r="H15" s="11"/>
      <c r="I15" s="11"/>
      <c r="J15" s="11"/>
      <c r="K15" s="11"/>
      <c r="L15" s="11"/>
      <c r="M15" s="11"/>
    </row>
    <row r="16" spans="1:13">
      <c r="A16" s="77" t="s">
        <v>286</v>
      </c>
      <c r="B16" s="11" t="s">
        <v>143</v>
      </c>
      <c r="C16" s="41">
        <v>6740</v>
      </c>
      <c r="D16" s="41">
        <v>33702</v>
      </c>
      <c r="E16" s="76">
        <v>474</v>
      </c>
      <c r="F16" s="76">
        <v>158</v>
      </c>
      <c r="G16" s="11"/>
      <c r="H16" s="11"/>
      <c r="I16" s="11"/>
      <c r="J16" s="11"/>
      <c r="K16" s="11"/>
      <c r="L16" s="11"/>
      <c r="M16" s="11"/>
    </row>
    <row r="17" spans="1:13">
      <c r="A17" s="77" t="s">
        <v>287</v>
      </c>
      <c r="B17" s="11" t="s">
        <v>288</v>
      </c>
      <c r="C17" s="75">
        <v>41675</v>
      </c>
      <c r="D17" s="75">
        <v>208375</v>
      </c>
      <c r="E17" s="76">
        <v>45</v>
      </c>
      <c r="F17" s="76">
        <v>1040</v>
      </c>
      <c r="G17" s="11"/>
      <c r="H17" s="11"/>
      <c r="I17" s="11"/>
      <c r="J17" s="11"/>
      <c r="K17" s="11"/>
      <c r="L17" s="11"/>
      <c r="M17" s="11"/>
    </row>
    <row r="18" spans="1:13">
      <c r="A18" s="70" t="s">
        <v>289</v>
      </c>
      <c r="B18" s="11" t="s">
        <v>290</v>
      </c>
      <c r="C18" s="75">
        <v>9165</v>
      </c>
      <c r="D18" s="75">
        <v>45825</v>
      </c>
      <c r="E18" s="76">
        <v>2280</v>
      </c>
      <c r="F18" s="76">
        <v>760</v>
      </c>
      <c r="G18" s="11"/>
      <c r="H18" s="11"/>
      <c r="I18" s="11"/>
      <c r="J18" s="11"/>
      <c r="K18" s="11"/>
      <c r="L18" s="11"/>
      <c r="M18" s="11"/>
    </row>
    <row r="19" spans="1:13">
      <c r="A19" s="77" t="s">
        <v>291</v>
      </c>
      <c r="B19" s="11" t="s">
        <v>121</v>
      </c>
      <c r="C19" s="75">
        <v>7369</v>
      </c>
      <c r="D19" s="75">
        <v>22107</v>
      </c>
      <c r="E19" s="76">
        <v>5410</v>
      </c>
      <c r="F19" s="76">
        <v>5410</v>
      </c>
      <c r="G19" s="11"/>
      <c r="H19" s="11"/>
      <c r="I19" s="11"/>
      <c r="J19" s="11"/>
      <c r="K19" s="11"/>
      <c r="L19" s="11"/>
      <c r="M19" s="11"/>
    </row>
    <row r="20" spans="1:13">
      <c r="A20" s="77" t="s">
        <v>292</v>
      </c>
      <c r="B20" s="11" t="s">
        <v>132</v>
      </c>
      <c r="C20" s="75">
        <v>698</v>
      </c>
      <c r="D20" s="75">
        <v>3492</v>
      </c>
      <c r="E20" s="76">
        <v>522</v>
      </c>
      <c r="F20" s="76">
        <v>174</v>
      </c>
      <c r="G20" s="11"/>
      <c r="H20" s="11"/>
      <c r="I20" s="11"/>
      <c r="J20" s="11"/>
      <c r="K20" s="11"/>
      <c r="L20" s="11"/>
      <c r="M20" s="11"/>
    </row>
    <row r="21" spans="1:13">
      <c r="A21" s="77" t="s">
        <v>293</v>
      </c>
      <c r="B21" s="11" t="s">
        <v>17</v>
      </c>
      <c r="C21" s="75">
        <v>2162</v>
      </c>
      <c r="D21" s="75">
        <v>10813</v>
      </c>
      <c r="E21" s="76">
        <v>666</v>
      </c>
      <c r="F21" s="76">
        <v>222</v>
      </c>
      <c r="G21" s="11"/>
      <c r="H21" s="11"/>
      <c r="I21" s="11"/>
      <c r="J21" s="11"/>
      <c r="K21" s="11"/>
      <c r="L21" s="11"/>
      <c r="M21" s="11"/>
    </row>
    <row r="22" spans="1:13">
      <c r="A22" s="82" t="s">
        <v>294</v>
      </c>
      <c r="B22" s="41" t="s">
        <v>6</v>
      </c>
      <c r="C22" s="75">
        <v>4885724</v>
      </c>
      <c r="D22" s="75">
        <v>24428620</v>
      </c>
      <c r="E22" s="76">
        <v>90</v>
      </c>
      <c r="F22" s="76">
        <v>2038</v>
      </c>
      <c r="G22" s="41"/>
      <c r="H22" s="41"/>
      <c r="I22" s="41"/>
      <c r="J22" s="41"/>
      <c r="K22" s="41"/>
      <c r="L22" s="41"/>
      <c r="M22" s="41"/>
    </row>
    <row r="23" spans="1:13">
      <c r="A23" s="77" t="s">
        <v>295</v>
      </c>
      <c r="B23" s="11" t="s">
        <v>107</v>
      </c>
      <c r="C23" s="43">
        <v>2552</v>
      </c>
      <c r="D23" s="43">
        <v>12761</v>
      </c>
      <c r="E23" s="44">
        <v>459</v>
      </c>
      <c r="F23" s="44">
        <v>153</v>
      </c>
      <c r="G23" s="11"/>
      <c r="H23" s="11"/>
      <c r="I23" s="11"/>
      <c r="J23" s="11"/>
      <c r="K23" s="11"/>
      <c r="L23" s="11"/>
      <c r="M23" s="11"/>
    </row>
    <row r="24" spans="1:13">
      <c r="A24" s="77" t="s">
        <v>292</v>
      </c>
      <c r="B24" s="11" t="s">
        <v>296</v>
      </c>
      <c r="C24" s="75">
        <v>698</v>
      </c>
      <c r="D24" s="75">
        <v>3492</v>
      </c>
      <c r="E24" s="76">
        <v>522</v>
      </c>
      <c r="F24" s="76">
        <v>174</v>
      </c>
      <c r="G24" s="11"/>
      <c r="H24" s="11"/>
      <c r="I24" s="11"/>
      <c r="J24" s="11"/>
      <c r="K24" s="11"/>
      <c r="L24" s="11"/>
      <c r="M24" s="11"/>
    </row>
    <row r="25" spans="1:13">
      <c r="A25" s="77" t="s">
        <v>297</v>
      </c>
      <c r="B25" s="11" t="s">
        <v>127</v>
      </c>
      <c r="C25" s="75">
        <v>1138</v>
      </c>
      <c r="D25" s="75">
        <v>5693</v>
      </c>
      <c r="E25" s="76">
        <v>567</v>
      </c>
      <c r="F25" s="76">
        <v>189</v>
      </c>
      <c r="G25" s="11"/>
      <c r="H25" s="11"/>
      <c r="I25" s="11"/>
      <c r="J25" s="11"/>
      <c r="K25" s="11"/>
      <c r="L25" s="11"/>
      <c r="M25" s="11"/>
    </row>
    <row r="26" spans="1:13">
      <c r="A26" s="77" t="s">
        <v>298</v>
      </c>
      <c r="B26" s="11" t="s">
        <v>257</v>
      </c>
      <c r="C26" s="75">
        <v>2162</v>
      </c>
      <c r="D26" s="75">
        <v>10813</v>
      </c>
      <c r="E26" s="76">
        <v>666</v>
      </c>
      <c r="F26" s="76">
        <v>222</v>
      </c>
      <c r="G26" s="11"/>
      <c r="H26" s="11"/>
      <c r="I26" s="11"/>
      <c r="J26" s="11"/>
      <c r="K26" s="11"/>
      <c r="L26" s="11"/>
      <c r="M26" s="11"/>
    </row>
    <row r="27" spans="1:13">
      <c r="A27" s="77" t="s">
        <v>271</v>
      </c>
      <c r="B27" s="11" t="s">
        <v>299</v>
      </c>
      <c r="C27" s="43">
        <v>183704</v>
      </c>
      <c r="D27" s="43">
        <v>918524</v>
      </c>
      <c r="E27" s="44">
        <v>1023</v>
      </c>
      <c r="F27" s="44">
        <v>341</v>
      </c>
      <c r="G27" s="11"/>
      <c r="H27" s="11"/>
      <c r="I27" s="11"/>
      <c r="J27" s="11"/>
      <c r="K27" s="11"/>
      <c r="L27" s="11"/>
      <c r="M27" s="11"/>
    </row>
    <row r="28" spans="1:13">
      <c r="A28" s="70" t="s">
        <v>300</v>
      </c>
      <c r="B28" s="11" t="s">
        <v>301</v>
      </c>
      <c r="C28" s="75">
        <v>1855</v>
      </c>
      <c r="D28" s="75">
        <v>9279</v>
      </c>
      <c r="E28" s="76">
        <v>636</v>
      </c>
      <c r="F28" s="76">
        <v>212</v>
      </c>
      <c r="G28" s="11"/>
      <c r="H28" s="11"/>
      <c r="I28" s="11"/>
      <c r="J28" s="11"/>
      <c r="K28" s="11"/>
      <c r="L28" s="11"/>
      <c r="M28" s="11"/>
    </row>
    <row r="29" spans="1:13" ht="18.75">
      <c r="A29" s="70"/>
      <c r="B29" s="11"/>
      <c r="C29" s="79">
        <v>11503078</v>
      </c>
      <c r="D29" s="79">
        <v>56917028</v>
      </c>
      <c r="E29" s="83">
        <v>49503</v>
      </c>
      <c r="F29" s="83">
        <v>67027</v>
      </c>
      <c r="G29" s="11"/>
      <c r="H29" s="11"/>
      <c r="I29" s="11"/>
      <c r="J29" s="11"/>
      <c r="K29" s="11"/>
      <c r="L29" s="11"/>
      <c r="M29" s="11"/>
    </row>
    <row r="30" spans="1:13">
      <c r="A30" s="70"/>
      <c r="B30" s="11"/>
      <c r="C30" s="75"/>
      <c r="D30" s="75">
        <v>53700</v>
      </c>
      <c r="E30" s="76">
        <v>46.71</v>
      </c>
      <c r="F30" s="76"/>
      <c r="G30" s="11"/>
      <c r="H30" s="11"/>
      <c r="I30" s="11"/>
      <c r="J30" s="11"/>
      <c r="K30" s="11"/>
      <c r="L30" s="11"/>
      <c r="M30" s="11"/>
    </row>
    <row r="31" spans="1:13">
      <c r="A31" s="70"/>
      <c r="B31" s="11"/>
      <c r="C31" s="75" t="s">
        <v>53</v>
      </c>
      <c r="D31" s="75">
        <v>567</v>
      </c>
      <c r="E31" s="76">
        <v>1134</v>
      </c>
      <c r="F31" s="76"/>
      <c r="G31" s="11"/>
      <c r="H31" s="11"/>
      <c r="I31" s="11"/>
      <c r="J31" s="11"/>
      <c r="K31" s="11"/>
      <c r="L31" s="11"/>
      <c r="M31" s="11"/>
    </row>
    <row r="32" spans="1:13">
      <c r="A32" s="70"/>
      <c r="B32" s="11"/>
      <c r="C32" s="75" t="s">
        <v>302</v>
      </c>
      <c r="D32" s="75">
        <v>109</v>
      </c>
      <c r="E32" s="76">
        <v>218</v>
      </c>
      <c r="F32" s="76"/>
      <c r="G32" s="11"/>
      <c r="H32" s="11"/>
      <c r="I32" s="11"/>
      <c r="J32" s="11"/>
      <c r="K32" s="11"/>
      <c r="L32" s="11"/>
      <c r="M32" s="11"/>
    </row>
    <row r="33" spans="1:13">
      <c r="A33" s="70"/>
      <c r="B33" s="11"/>
      <c r="C33" s="75"/>
      <c r="D33" s="75"/>
      <c r="E33" s="76">
        <v>1180.71</v>
      </c>
      <c r="F33" s="76"/>
      <c r="G33" s="11"/>
      <c r="H33" s="11"/>
      <c r="I33" s="11"/>
      <c r="J33" s="11"/>
      <c r="K33" s="11"/>
      <c r="L33" s="11"/>
      <c r="M33" s="11"/>
    </row>
    <row r="34" spans="1:13">
      <c r="A34" s="70"/>
      <c r="B34" s="11"/>
      <c r="C34" s="75" t="s">
        <v>303</v>
      </c>
      <c r="D34" s="75">
        <v>6208</v>
      </c>
      <c r="E34" s="76">
        <v>383.46</v>
      </c>
      <c r="F34" s="76"/>
      <c r="G34" s="11"/>
      <c r="H34" s="11"/>
      <c r="I34" s="11"/>
      <c r="J34" s="11"/>
      <c r="K34" s="11"/>
      <c r="L34" s="11"/>
      <c r="M34" s="11"/>
    </row>
    <row r="35" spans="1:13">
      <c r="A35" s="70"/>
      <c r="B35" s="11"/>
      <c r="C35" s="75"/>
      <c r="D35" s="75">
        <v>58</v>
      </c>
      <c r="E35" s="76">
        <v>116</v>
      </c>
      <c r="F35" s="76">
        <v>499.46</v>
      </c>
      <c r="G35" s="11"/>
      <c r="H35" s="11"/>
      <c r="I35" s="11"/>
      <c r="J35" s="11"/>
      <c r="K35" s="11"/>
      <c r="L35" s="11"/>
      <c r="M35" s="11"/>
    </row>
    <row r="36" spans="1:13">
      <c r="A36" s="70"/>
      <c r="B36" s="11"/>
      <c r="C36" s="75" t="s">
        <v>55</v>
      </c>
      <c r="D36" s="75">
        <v>210</v>
      </c>
      <c r="E36" s="76">
        <v>420</v>
      </c>
      <c r="F36" s="76"/>
      <c r="G36" s="11"/>
      <c r="H36" s="11"/>
      <c r="I36" s="11"/>
      <c r="J36" s="11"/>
      <c r="K36" s="11"/>
      <c r="L36" s="11"/>
      <c r="M36" s="11"/>
    </row>
    <row r="37" spans="1:13" ht="20.25">
      <c r="A37" s="70"/>
      <c r="B37" s="84" t="s">
        <v>62</v>
      </c>
      <c r="C37" s="84" t="s">
        <v>63</v>
      </c>
      <c r="D37" s="84" t="s">
        <v>64</v>
      </c>
      <c r="E37" s="84" t="s">
        <v>35</v>
      </c>
      <c r="F37" s="84" t="s">
        <v>36</v>
      </c>
      <c r="G37" s="84" t="s">
        <v>37</v>
      </c>
      <c r="H37" s="84" t="s">
        <v>38</v>
      </c>
      <c r="I37" s="84" t="s">
        <v>39</v>
      </c>
      <c r="J37" s="84"/>
      <c r="K37" s="11"/>
      <c r="L37" s="11"/>
      <c r="M37" s="11"/>
    </row>
    <row r="38" spans="1:13">
      <c r="A38" s="70"/>
      <c r="B38" s="39" t="s">
        <v>304</v>
      </c>
      <c r="C38" s="138">
        <v>43102</v>
      </c>
      <c r="D38" s="137" t="s">
        <v>40</v>
      </c>
      <c r="E38" s="137">
        <v>822</v>
      </c>
      <c r="F38" s="137">
        <v>7</v>
      </c>
      <c r="G38" s="137" t="s">
        <v>305</v>
      </c>
      <c r="H38" s="137">
        <v>5</v>
      </c>
      <c r="I38" s="137" t="s">
        <v>306</v>
      </c>
      <c r="J38" s="11"/>
      <c r="K38" s="11"/>
      <c r="L38" s="11"/>
      <c r="M38" s="11"/>
    </row>
    <row r="39" spans="1:13">
      <c r="A39" s="70"/>
      <c r="B39" s="85" t="s">
        <v>65</v>
      </c>
      <c r="C39" s="138"/>
      <c r="D39" s="137"/>
      <c r="E39" s="137"/>
      <c r="F39" s="137"/>
      <c r="G39" s="137"/>
      <c r="H39" s="137"/>
      <c r="I39" s="137"/>
      <c r="J39" s="11"/>
      <c r="K39" s="11"/>
      <c r="L39" s="11"/>
      <c r="M39" s="11"/>
    </row>
    <row r="40" spans="1:13">
      <c r="A40" s="70"/>
      <c r="B40" s="39" t="s">
        <v>307</v>
      </c>
      <c r="C40" s="137" t="s">
        <v>308</v>
      </c>
      <c r="D40" s="137" t="s">
        <v>40</v>
      </c>
      <c r="E40" s="137">
        <v>108</v>
      </c>
      <c r="F40" s="137">
        <v>3</v>
      </c>
      <c r="G40" s="137" t="s">
        <v>309</v>
      </c>
      <c r="H40" s="137">
        <v>1</v>
      </c>
      <c r="I40" s="137" t="s">
        <v>310</v>
      </c>
      <c r="J40" s="11"/>
      <c r="K40" s="11"/>
      <c r="L40" s="11"/>
      <c r="M40" s="11"/>
    </row>
    <row r="41" spans="1:13">
      <c r="A41" s="70"/>
      <c r="B41" s="85" t="s">
        <v>65</v>
      </c>
      <c r="C41" s="137"/>
      <c r="D41" s="137"/>
      <c r="E41" s="137"/>
      <c r="F41" s="137"/>
      <c r="G41" s="137"/>
      <c r="H41" s="137"/>
      <c r="I41" s="137"/>
      <c r="J41" s="11"/>
      <c r="K41" s="11"/>
      <c r="L41" s="11"/>
      <c r="M41" s="11"/>
    </row>
    <row r="42" spans="1:13">
      <c r="A42" s="70"/>
      <c r="B42" s="39" t="s">
        <v>311</v>
      </c>
      <c r="C42" s="137" t="s">
        <v>312</v>
      </c>
      <c r="D42" s="137" t="s">
        <v>40</v>
      </c>
      <c r="E42" s="137">
        <v>199</v>
      </c>
      <c r="F42" s="137">
        <v>4</v>
      </c>
      <c r="G42" s="137" t="s">
        <v>313</v>
      </c>
      <c r="H42" s="137">
        <v>2</v>
      </c>
      <c r="I42" s="137" t="s">
        <v>93</v>
      </c>
      <c r="J42" s="11"/>
      <c r="K42" s="11"/>
      <c r="L42" s="11"/>
      <c r="M42" s="11"/>
    </row>
    <row r="43" spans="1:13">
      <c r="A43" s="70"/>
      <c r="B43" s="85" t="s">
        <v>65</v>
      </c>
      <c r="C43" s="137"/>
      <c r="D43" s="137"/>
      <c r="E43" s="137"/>
      <c r="F43" s="137"/>
      <c r="G43" s="137"/>
      <c r="H43" s="137"/>
      <c r="I43" s="137"/>
      <c r="J43" s="11"/>
      <c r="K43" s="11"/>
      <c r="L43" s="11"/>
      <c r="M43" s="11" t="s">
        <v>9</v>
      </c>
    </row>
    <row r="44" spans="1:13">
      <c r="A44" s="70"/>
      <c r="B44" s="39" t="s">
        <v>314</v>
      </c>
      <c r="C44" s="137" t="s">
        <v>312</v>
      </c>
      <c r="D44" s="137" t="s">
        <v>40</v>
      </c>
      <c r="E44" s="137">
        <v>237</v>
      </c>
      <c r="F44" s="137">
        <v>6</v>
      </c>
      <c r="G44" s="137" t="s">
        <v>315</v>
      </c>
      <c r="H44" s="137">
        <v>3</v>
      </c>
      <c r="I44" s="137" t="s">
        <v>316</v>
      </c>
      <c r="J44" s="11"/>
      <c r="K44" s="11"/>
      <c r="L44" s="11"/>
      <c r="M44" s="11"/>
    </row>
    <row r="45" spans="1:13">
      <c r="A45" s="70"/>
      <c r="B45" s="85" t="s">
        <v>65</v>
      </c>
      <c r="C45" s="137"/>
      <c r="D45" s="137"/>
      <c r="E45" s="137"/>
      <c r="F45" s="137"/>
      <c r="G45" s="137"/>
      <c r="H45" s="137"/>
      <c r="I45" s="137"/>
      <c r="J45" s="11"/>
      <c r="K45" s="11"/>
      <c r="L45" s="11"/>
      <c r="M45" s="11"/>
    </row>
    <row r="46" spans="1:13">
      <c r="A46" s="11"/>
      <c r="B46" s="39" t="s">
        <v>317</v>
      </c>
      <c r="C46" s="137" t="s">
        <v>318</v>
      </c>
      <c r="D46" s="137" t="s">
        <v>40</v>
      </c>
      <c r="E46" s="137">
        <v>498</v>
      </c>
      <c r="F46" s="137">
        <v>3</v>
      </c>
      <c r="G46" s="137" t="s">
        <v>319</v>
      </c>
      <c r="H46" s="137">
        <v>7</v>
      </c>
      <c r="I46" s="137" t="s">
        <v>313</v>
      </c>
      <c r="J46" s="11"/>
      <c r="K46" s="11"/>
      <c r="L46" s="11"/>
      <c r="M46" s="11"/>
    </row>
    <row r="47" spans="1:13">
      <c r="A47" s="11"/>
      <c r="B47" s="85" t="s">
        <v>65</v>
      </c>
      <c r="C47" s="137"/>
      <c r="D47" s="137"/>
      <c r="E47" s="137"/>
      <c r="F47" s="137"/>
      <c r="G47" s="137"/>
      <c r="H47" s="137"/>
      <c r="I47" s="137"/>
      <c r="J47" s="11"/>
      <c r="K47" s="11"/>
      <c r="L47" s="11"/>
      <c r="M47" s="11"/>
    </row>
    <row r="48" spans="1:13">
      <c r="A48" s="11"/>
      <c r="B48" s="39" t="s">
        <v>320</v>
      </c>
      <c r="C48" s="137" t="s">
        <v>321</v>
      </c>
      <c r="D48" s="137" t="s">
        <v>40</v>
      </c>
      <c r="E48" s="137">
        <v>346</v>
      </c>
      <c r="F48" s="137">
        <v>4</v>
      </c>
      <c r="G48" s="137" t="s">
        <v>322</v>
      </c>
      <c r="H48" s="137">
        <v>3</v>
      </c>
      <c r="I48" s="137" t="s">
        <v>323</v>
      </c>
      <c r="J48" s="11"/>
      <c r="K48" s="11"/>
      <c r="L48" s="11"/>
      <c r="M48" s="11"/>
    </row>
    <row r="49" spans="1:13">
      <c r="A49" s="11"/>
      <c r="B49" s="85" t="s">
        <v>65</v>
      </c>
      <c r="C49" s="137"/>
      <c r="D49" s="137"/>
      <c r="E49" s="137"/>
      <c r="F49" s="137"/>
      <c r="G49" s="137"/>
      <c r="H49" s="137"/>
      <c r="I49" s="137"/>
      <c r="J49" s="11"/>
      <c r="K49" s="11"/>
      <c r="L49" s="11"/>
      <c r="M49" s="11"/>
    </row>
    <row r="50" spans="1:13">
      <c r="A50" s="11"/>
      <c r="B50" s="39" t="s">
        <v>324</v>
      </c>
      <c r="C50" s="137" t="s">
        <v>325</v>
      </c>
      <c r="D50" s="137" t="s">
        <v>40</v>
      </c>
      <c r="E50" s="137">
        <v>331</v>
      </c>
      <c r="F50" s="137">
        <v>11</v>
      </c>
      <c r="G50" s="137" t="s">
        <v>326</v>
      </c>
      <c r="H50" s="137">
        <v>1</v>
      </c>
      <c r="I50" s="137" t="s">
        <v>327</v>
      </c>
      <c r="J50" s="11"/>
      <c r="K50" s="11"/>
      <c r="L50" s="11"/>
      <c r="M50" s="11"/>
    </row>
    <row r="51" spans="1:13">
      <c r="A51" s="11"/>
      <c r="B51" s="85" t="s">
        <v>65</v>
      </c>
      <c r="C51" s="137"/>
      <c r="D51" s="137"/>
      <c r="E51" s="137"/>
      <c r="F51" s="137"/>
      <c r="G51" s="137"/>
      <c r="H51" s="137"/>
      <c r="I51" s="137"/>
      <c r="J51" s="11"/>
      <c r="K51" s="11"/>
      <c r="L51" s="11"/>
      <c r="M51" s="11"/>
    </row>
    <row r="52" spans="1:13">
      <c r="A52" s="11"/>
      <c r="B52" s="39" t="s">
        <v>328</v>
      </c>
      <c r="C52" s="137" t="s">
        <v>329</v>
      </c>
      <c r="D52" s="137" t="s">
        <v>40</v>
      </c>
      <c r="E52" s="137">
        <v>348</v>
      </c>
      <c r="F52" s="137">
        <v>12</v>
      </c>
      <c r="G52" s="137" t="s">
        <v>330</v>
      </c>
      <c r="H52" s="137">
        <v>2</v>
      </c>
      <c r="I52" s="137" t="s">
        <v>331</v>
      </c>
      <c r="J52" s="11"/>
      <c r="K52" s="11"/>
      <c r="L52" s="11"/>
      <c r="M52" s="11"/>
    </row>
    <row r="53" spans="1:13">
      <c r="A53" s="11"/>
      <c r="B53" s="85" t="s">
        <v>65</v>
      </c>
      <c r="C53" s="137"/>
      <c r="D53" s="137"/>
      <c r="E53" s="137"/>
      <c r="F53" s="137"/>
      <c r="G53" s="137"/>
      <c r="H53" s="137"/>
      <c r="I53" s="137"/>
      <c r="J53" s="11"/>
      <c r="K53" s="11"/>
      <c r="L53" s="11"/>
      <c r="M53" s="11"/>
    </row>
    <row r="54" spans="1:13">
      <c r="A54" s="11"/>
      <c r="B54" s="39" t="s">
        <v>332</v>
      </c>
      <c r="C54" s="138">
        <v>43283</v>
      </c>
      <c r="D54" s="137" t="s">
        <v>40</v>
      </c>
      <c r="E54" s="137">
        <v>562</v>
      </c>
      <c r="F54" s="137">
        <v>12</v>
      </c>
      <c r="G54" s="137" t="s">
        <v>333</v>
      </c>
      <c r="H54" s="137">
        <v>8</v>
      </c>
      <c r="I54" s="137" t="s">
        <v>334</v>
      </c>
      <c r="J54" s="11"/>
      <c r="K54" s="11"/>
      <c r="L54" s="11"/>
      <c r="M54" s="11"/>
    </row>
    <row r="55" spans="1:13">
      <c r="A55" s="11"/>
      <c r="B55" s="85" t="s">
        <v>65</v>
      </c>
      <c r="C55" s="138"/>
      <c r="D55" s="137"/>
      <c r="E55" s="137"/>
      <c r="F55" s="137"/>
      <c r="G55" s="137"/>
      <c r="H55" s="137"/>
      <c r="I55" s="137"/>
      <c r="J55" s="11"/>
      <c r="K55" s="11"/>
      <c r="L55" s="11"/>
      <c r="M55" s="11"/>
    </row>
    <row r="56" spans="1:13">
      <c r="A56" s="11"/>
      <c r="B56" s="39" t="s">
        <v>335</v>
      </c>
      <c r="C56" s="138">
        <v>43222</v>
      </c>
      <c r="D56" s="137" t="s">
        <v>40</v>
      </c>
      <c r="E56" s="137">
        <v>504</v>
      </c>
      <c r="F56" s="137">
        <v>2</v>
      </c>
      <c r="G56" s="137" t="s">
        <v>336</v>
      </c>
      <c r="H56" s="137">
        <v>7</v>
      </c>
      <c r="I56" s="137" t="s">
        <v>337</v>
      </c>
      <c r="J56" s="11"/>
      <c r="K56" s="11"/>
      <c r="L56" s="11"/>
      <c r="M56" s="11"/>
    </row>
    <row r="57" spans="1:13">
      <c r="A57" s="11"/>
      <c r="B57" s="85" t="s">
        <v>65</v>
      </c>
      <c r="C57" s="138"/>
      <c r="D57" s="137"/>
      <c r="E57" s="137"/>
      <c r="F57" s="137"/>
      <c r="G57" s="137"/>
      <c r="H57" s="137"/>
      <c r="I57" s="137"/>
      <c r="J57" s="11"/>
      <c r="K57" s="11"/>
      <c r="L57" s="11"/>
      <c r="M57" s="11"/>
    </row>
    <row r="58" spans="1:13">
      <c r="A58" s="70"/>
      <c r="B58" s="85" t="s">
        <v>338</v>
      </c>
      <c r="C58" s="86" t="s">
        <v>339</v>
      </c>
      <c r="D58" s="11"/>
      <c r="E58" s="11">
        <v>609</v>
      </c>
      <c r="F58" s="11"/>
      <c r="G58" s="11"/>
      <c r="H58" s="11">
        <v>1</v>
      </c>
      <c r="I58" s="11"/>
      <c r="J58" s="11"/>
      <c r="K58" s="11"/>
      <c r="L58" s="11"/>
      <c r="M58" s="11"/>
    </row>
    <row r="59" spans="1:13">
      <c r="A59" s="70"/>
      <c r="B59" s="85" t="s">
        <v>340</v>
      </c>
      <c r="C59" s="86" t="s">
        <v>341</v>
      </c>
      <c r="D59" s="11"/>
      <c r="E59" s="11">
        <v>412</v>
      </c>
      <c r="F59" s="11"/>
      <c r="G59" s="11"/>
      <c r="H59" s="11">
        <v>17</v>
      </c>
      <c r="I59" s="11"/>
      <c r="J59" s="11"/>
      <c r="K59" s="11"/>
      <c r="L59" s="11"/>
      <c r="M59" s="11"/>
    </row>
    <row r="60" spans="1:13">
      <c r="A60" s="70"/>
      <c r="B60" s="85" t="s">
        <v>342</v>
      </c>
      <c r="C60" s="87">
        <v>43102</v>
      </c>
      <c r="D60" s="11"/>
      <c r="E60" s="11">
        <v>1232</v>
      </c>
      <c r="F60" s="11"/>
      <c r="G60" s="11"/>
      <c r="H60" s="11">
        <v>1</v>
      </c>
      <c r="I60" s="11"/>
      <c r="J60" s="11"/>
      <c r="K60" s="11"/>
      <c r="L60" s="11"/>
      <c r="M60" s="11"/>
    </row>
    <row r="61" spans="1:13">
      <c r="A61" s="70"/>
      <c r="B61" s="11"/>
      <c r="C61" s="11"/>
      <c r="D61" s="11"/>
      <c r="E61" s="11">
        <v>3955</v>
      </c>
      <c r="F61" s="11">
        <v>64</v>
      </c>
      <c r="G61" s="11"/>
      <c r="H61" s="11">
        <v>39</v>
      </c>
      <c r="I61" s="11"/>
      <c r="J61" s="11"/>
      <c r="K61" s="11"/>
      <c r="L61" s="11"/>
      <c r="M61" s="11"/>
    </row>
    <row r="62" spans="1:13">
      <c r="A62" s="70"/>
      <c r="B62" s="11"/>
      <c r="C62" s="11"/>
      <c r="D62" s="11"/>
      <c r="E62" s="11">
        <v>2253</v>
      </c>
      <c r="F62" s="11"/>
      <c r="G62" s="11"/>
      <c r="H62" s="11">
        <v>19</v>
      </c>
      <c r="I62" s="11"/>
      <c r="J62" s="11"/>
      <c r="K62" s="11"/>
      <c r="L62" s="11"/>
      <c r="M62" s="11"/>
    </row>
    <row r="63" spans="1:13">
      <c r="A63" s="70"/>
      <c r="B63" s="11"/>
      <c r="C63" s="11"/>
      <c r="D63" s="11"/>
      <c r="E63" s="11">
        <v>6208</v>
      </c>
      <c r="F63" s="11"/>
      <c r="G63" s="11"/>
      <c r="H63" s="11">
        <v>58</v>
      </c>
      <c r="I63" s="11"/>
      <c r="J63" s="11"/>
      <c r="K63" s="11"/>
      <c r="L63" s="11"/>
      <c r="M63" s="11"/>
    </row>
  </sheetData>
  <mergeCells count="70">
    <mergeCell ref="I38:I39"/>
    <mergeCell ref="C40:C41"/>
    <mergeCell ref="D40:D41"/>
    <mergeCell ref="E40:E41"/>
    <mergeCell ref="F40:F41"/>
    <mergeCell ref="G40:G41"/>
    <mergeCell ref="H40:H41"/>
    <mergeCell ref="I40:I41"/>
    <mergeCell ref="C38:C39"/>
    <mergeCell ref="D38:D39"/>
    <mergeCell ref="E38:E39"/>
    <mergeCell ref="F38:F39"/>
    <mergeCell ref="G38:G39"/>
    <mergeCell ref="H38:H39"/>
    <mergeCell ref="I42:I43"/>
    <mergeCell ref="C44:C45"/>
    <mergeCell ref="D44:D45"/>
    <mergeCell ref="E44:E45"/>
    <mergeCell ref="F44:F45"/>
    <mergeCell ref="G44:G45"/>
    <mergeCell ref="H44:H45"/>
    <mergeCell ref="I44:I45"/>
    <mergeCell ref="C42:C43"/>
    <mergeCell ref="D42:D43"/>
    <mergeCell ref="E42:E43"/>
    <mergeCell ref="F42:F43"/>
    <mergeCell ref="G42:G43"/>
    <mergeCell ref="H42:H43"/>
    <mergeCell ref="I46:I47"/>
    <mergeCell ref="C48:C49"/>
    <mergeCell ref="D48:D49"/>
    <mergeCell ref="E48:E49"/>
    <mergeCell ref="F48:F49"/>
    <mergeCell ref="G48:G49"/>
    <mergeCell ref="H48:H49"/>
    <mergeCell ref="I48:I49"/>
    <mergeCell ref="C46:C47"/>
    <mergeCell ref="D46:D47"/>
    <mergeCell ref="E46:E47"/>
    <mergeCell ref="F46:F47"/>
    <mergeCell ref="G46:G47"/>
    <mergeCell ref="H46:H47"/>
    <mergeCell ref="I50:I51"/>
    <mergeCell ref="C52:C53"/>
    <mergeCell ref="D52:D53"/>
    <mergeCell ref="E52:E53"/>
    <mergeCell ref="F52:F53"/>
    <mergeCell ref="G52:G53"/>
    <mergeCell ref="H52:H53"/>
    <mergeCell ref="I52:I53"/>
    <mergeCell ref="C50:C51"/>
    <mergeCell ref="D50:D51"/>
    <mergeCell ref="E50:E51"/>
    <mergeCell ref="F50:F51"/>
    <mergeCell ref="G50:G51"/>
    <mergeCell ref="H50:H51"/>
    <mergeCell ref="I54:I55"/>
    <mergeCell ref="C56:C57"/>
    <mergeCell ref="D56:D57"/>
    <mergeCell ref="E56:E57"/>
    <mergeCell ref="F56:F57"/>
    <mergeCell ref="G56:G57"/>
    <mergeCell ref="H56:H57"/>
    <mergeCell ref="I56:I57"/>
    <mergeCell ref="C54:C55"/>
    <mergeCell ref="D54:D55"/>
    <mergeCell ref="E54:E55"/>
    <mergeCell ref="F54:F55"/>
    <mergeCell ref="G54:G55"/>
    <mergeCell ref="H54:H55"/>
  </mergeCells>
  <hyperlinks>
    <hyperlink ref="A2" r:id="rId1" xr:uid="{00000000-0004-0000-0500-000000000000}"/>
    <hyperlink ref="A3" r:id="rId2" xr:uid="{00000000-0004-0000-0500-000001000000}"/>
    <hyperlink ref="A4" r:id="rId3" xr:uid="{00000000-0004-0000-0500-000002000000}"/>
    <hyperlink ref="A5" r:id="rId4" xr:uid="{00000000-0004-0000-0500-000003000000}"/>
    <hyperlink ref="A6" r:id="rId5" xr:uid="{00000000-0004-0000-0500-000004000000}"/>
    <hyperlink ref="A8" r:id="rId6" xr:uid="{00000000-0004-0000-0500-000005000000}"/>
    <hyperlink ref="A9" r:id="rId7" xr:uid="{00000000-0004-0000-0500-000006000000}"/>
    <hyperlink ref="A10" r:id="rId8" xr:uid="{00000000-0004-0000-0500-000007000000}"/>
    <hyperlink ref="A11" r:id="rId9" xr:uid="{00000000-0004-0000-0500-000008000000}"/>
    <hyperlink ref="A12" r:id="rId10" xr:uid="{00000000-0004-0000-0500-000009000000}"/>
    <hyperlink ref="A16" r:id="rId11" xr:uid="{00000000-0004-0000-0500-00000A000000}"/>
    <hyperlink ref="A17" r:id="rId12" xr:uid="{00000000-0004-0000-0500-00000B000000}"/>
    <hyperlink ref="A19" r:id="rId13" xr:uid="{00000000-0004-0000-0500-00000C000000}"/>
    <hyperlink ref="A20" r:id="rId14" xr:uid="{00000000-0004-0000-0500-00000D000000}"/>
    <hyperlink ref="A21" r:id="rId15" xr:uid="{00000000-0004-0000-0500-00000E000000}"/>
    <hyperlink ref="A22" r:id="rId16" xr:uid="{00000000-0004-0000-0500-00000F000000}"/>
    <hyperlink ref="A23" r:id="rId17" xr:uid="{00000000-0004-0000-0500-000010000000}"/>
    <hyperlink ref="A24" r:id="rId18" xr:uid="{00000000-0004-0000-0500-000011000000}"/>
    <hyperlink ref="A25" r:id="rId19" xr:uid="{00000000-0004-0000-0500-000012000000}"/>
    <hyperlink ref="A26" r:id="rId20" xr:uid="{00000000-0004-0000-0500-000013000000}"/>
    <hyperlink ref="A27" r:id="rId21" xr:uid="{00000000-0004-0000-0500-000014000000}"/>
    <hyperlink ref="B38" r:id="rId22" xr:uid="{00000000-0004-0000-0500-000015000000}"/>
    <hyperlink ref="B40" r:id="rId23" xr:uid="{00000000-0004-0000-0500-000016000000}"/>
    <hyperlink ref="B42" r:id="rId24" xr:uid="{00000000-0004-0000-0500-000017000000}"/>
    <hyperlink ref="B44" r:id="rId25" xr:uid="{00000000-0004-0000-0500-000018000000}"/>
    <hyperlink ref="B46" r:id="rId26" xr:uid="{00000000-0004-0000-0500-000019000000}"/>
    <hyperlink ref="B48" r:id="rId27" xr:uid="{00000000-0004-0000-0500-00001A000000}"/>
    <hyperlink ref="B50" r:id="rId28" xr:uid="{00000000-0004-0000-0500-00001B000000}"/>
    <hyperlink ref="B52" r:id="rId29" xr:uid="{00000000-0004-0000-0500-00001C000000}"/>
    <hyperlink ref="B54" r:id="rId30" xr:uid="{00000000-0004-0000-0500-00001D000000}"/>
    <hyperlink ref="B56" r:id="rId31" xr:uid="{00000000-0004-0000-0500-00001E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3"/>
  <sheetViews>
    <sheetView workbookViewId="0">
      <selection activeCell="E15" sqref="E15"/>
    </sheetView>
  </sheetViews>
  <sheetFormatPr baseColWidth="10" defaultRowHeight="27.95" customHeight="1"/>
  <cols>
    <col min="1" max="1" width="12.125" bestFit="1" customWidth="1"/>
    <col min="2" max="2" width="12.875" bestFit="1" customWidth="1"/>
    <col min="3" max="3" width="10.125" bestFit="1" customWidth="1"/>
    <col min="4" max="4" width="16.125" bestFit="1" customWidth="1"/>
    <col min="5" max="5" width="11.375" bestFit="1" customWidth="1"/>
    <col min="6" max="6" width="16.375" bestFit="1" customWidth="1"/>
    <col min="7" max="7" width="11.375" bestFit="1" customWidth="1"/>
    <col min="8" max="8" width="14.625" bestFit="1" customWidth="1"/>
    <col min="9" max="9" width="11.375" bestFit="1" customWidth="1"/>
  </cols>
  <sheetData>
    <row r="1" spans="1:9" ht="27.95" customHeight="1">
      <c r="A1" s="139" t="s">
        <v>343</v>
      </c>
      <c r="B1" s="140"/>
      <c r="C1" s="140"/>
      <c r="D1" s="140"/>
      <c r="E1" s="140"/>
      <c r="F1" s="140"/>
      <c r="G1" s="140"/>
      <c r="H1" s="140"/>
      <c r="I1" s="141"/>
    </row>
    <row r="2" spans="1:9" ht="27.95" customHeight="1">
      <c r="A2" s="57" t="s">
        <v>41</v>
      </c>
      <c r="B2" s="15" t="s">
        <v>47</v>
      </c>
      <c r="C2" s="15" t="s">
        <v>43</v>
      </c>
      <c r="D2" s="15" t="s">
        <v>57</v>
      </c>
      <c r="E2" s="15" t="s">
        <v>43</v>
      </c>
      <c r="F2" s="15" t="s">
        <v>49</v>
      </c>
      <c r="G2" s="15" t="s">
        <v>43</v>
      </c>
      <c r="H2" s="15" t="s">
        <v>48</v>
      </c>
      <c r="I2" s="58" t="s">
        <v>43</v>
      </c>
    </row>
    <row r="3" spans="1:9" ht="27.95" customHeight="1">
      <c r="A3" s="59" t="s">
        <v>46</v>
      </c>
      <c r="B3" s="22">
        <v>2042</v>
      </c>
      <c r="C3" s="25">
        <v>-0.18740000000000001</v>
      </c>
      <c r="D3" s="22">
        <v>1347</v>
      </c>
      <c r="E3" s="25">
        <v>-0.1623</v>
      </c>
      <c r="F3" s="22">
        <v>5358</v>
      </c>
      <c r="G3" s="25">
        <v>-0.20530000000000001</v>
      </c>
      <c r="H3" s="20">
        <v>0.56510000000000005</v>
      </c>
      <c r="I3" s="60">
        <v>4.4000000000000003E-3</v>
      </c>
    </row>
    <row r="4" spans="1:9" ht="27.95" customHeight="1">
      <c r="A4" s="57" t="s">
        <v>41</v>
      </c>
      <c r="B4" s="15" t="s">
        <v>51</v>
      </c>
      <c r="C4" s="15" t="s">
        <v>43</v>
      </c>
      <c r="D4" s="15" t="s">
        <v>58</v>
      </c>
      <c r="E4" s="15" t="s">
        <v>43</v>
      </c>
      <c r="F4" s="15" t="s">
        <v>49</v>
      </c>
      <c r="G4" s="15" t="s">
        <v>43</v>
      </c>
      <c r="H4" s="15" t="s">
        <v>44</v>
      </c>
      <c r="I4" s="58" t="s">
        <v>43</v>
      </c>
    </row>
    <row r="5" spans="1:9" ht="27.95" customHeight="1">
      <c r="A5" s="59" t="s">
        <v>50</v>
      </c>
      <c r="B5" s="18">
        <v>57</v>
      </c>
      <c r="C5" s="23">
        <f>(B5-21)/21</f>
        <v>1.7142857142857142</v>
      </c>
      <c r="D5" s="22">
        <f>'[1]Febrero 2018'!C29</f>
        <v>11503078</v>
      </c>
      <c r="E5" s="23">
        <f>(D5-810452)/810452</f>
        <v>13.193410590633375</v>
      </c>
      <c r="F5" s="22">
        <f>'[1]Febrero 2018'!D29</f>
        <v>56917028</v>
      </c>
      <c r="G5" s="23">
        <f>(F5-3693540)/3693540</f>
        <v>14.409885367425289</v>
      </c>
      <c r="H5" s="24">
        <f>'[1]Febrero 2018'!F29</f>
        <v>67027</v>
      </c>
      <c r="I5" s="23">
        <f>(H5-50060)/50060</f>
        <v>0.33893328006392331</v>
      </c>
    </row>
    <row r="6" spans="1:9" ht="27.95" customHeight="1">
      <c r="A6" s="57" t="s">
        <v>41</v>
      </c>
      <c r="B6" s="15" t="s">
        <v>42</v>
      </c>
      <c r="C6" s="15" t="s">
        <v>43</v>
      </c>
      <c r="D6" s="15" t="s">
        <v>59</v>
      </c>
      <c r="E6" s="15" t="s">
        <v>43</v>
      </c>
      <c r="F6" s="15" t="s">
        <v>52</v>
      </c>
      <c r="G6" s="15" t="s">
        <v>43</v>
      </c>
      <c r="H6" s="15" t="s">
        <v>44</v>
      </c>
      <c r="I6" s="58" t="s">
        <v>43</v>
      </c>
    </row>
    <row r="7" spans="1:9" ht="27.95" customHeight="1">
      <c r="A7" s="59" t="s">
        <v>53</v>
      </c>
      <c r="B7" s="18">
        <v>129</v>
      </c>
      <c r="C7" s="23">
        <v>0.19400000000000001</v>
      </c>
      <c r="D7" s="22">
        <v>53700</v>
      </c>
      <c r="E7" s="23">
        <v>0.20200000000000001</v>
      </c>
      <c r="F7" s="18">
        <v>567</v>
      </c>
      <c r="G7" s="25">
        <f>(F7-607)/607</f>
        <v>-6.589785831960461E-2</v>
      </c>
      <c r="H7" s="26">
        <v>1180.71</v>
      </c>
      <c r="I7" s="25">
        <f>(H7-1868.66)/1868.66</f>
        <v>-0.36815150963792237</v>
      </c>
    </row>
    <row r="8" spans="1:9" ht="27.95" customHeight="1">
      <c r="A8" s="59" t="s">
        <v>54</v>
      </c>
      <c r="B8" s="18">
        <v>13</v>
      </c>
      <c r="C8" s="88">
        <v>0</v>
      </c>
      <c r="D8" s="22">
        <v>6208</v>
      </c>
      <c r="E8" s="23">
        <f>(D8-3989)/3989</f>
        <v>0.55627976936575585</v>
      </c>
      <c r="F8" s="18">
        <v>58</v>
      </c>
      <c r="G8" s="23">
        <f>(F8-27)/27</f>
        <v>1.1481481481481481</v>
      </c>
      <c r="H8" s="26">
        <v>499.46</v>
      </c>
      <c r="I8" s="61">
        <f>(H8-363.94)/363.94</f>
        <v>0.37236907182502604</v>
      </c>
    </row>
    <row r="9" spans="1:9" ht="27.95" customHeight="1">
      <c r="A9" s="59" t="s">
        <v>55</v>
      </c>
      <c r="B9" s="18">
        <v>3</v>
      </c>
      <c r="C9" s="23">
        <f>(B9-0)/1</f>
        <v>3</v>
      </c>
      <c r="D9" s="18">
        <v>210</v>
      </c>
      <c r="E9" s="23">
        <f>(D9-157)/157</f>
        <v>0.33757961783439489</v>
      </c>
      <c r="F9" s="18">
        <v>20</v>
      </c>
      <c r="G9" s="23">
        <f>(F9-9)/8</f>
        <v>1.375</v>
      </c>
      <c r="H9" s="33">
        <v>420</v>
      </c>
      <c r="I9" s="61">
        <f>(H9-14.32)/14.32</f>
        <v>28.329608938547487</v>
      </c>
    </row>
    <row r="10" spans="1:9" ht="27.95" customHeight="1">
      <c r="A10" s="62" t="s">
        <v>56</v>
      </c>
      <c r="B10" s="29">
        <v>5</v>
      </c>
      <c r="C10" s="23">
        <f>(B10-3)/3</f>
        <v>0.66666666666666663</v>
      </c>
      <c r="D10" s="29">
        <v>109</v>
      </c>
      <c r="E10" s="23">
        <f>(D10-83)/83</f>
        <v>0.31325301204819278</v>
      </c>
      <c r="F10" s="29">
        <v>4</v>
      </c>
      <c r="G10" s="23">
        <f>(F10-0)/1</f>
        <v>4</v>
      </c>
      <c r="H10" s="33">
        <v>226</v>
      </c>
      <c r="I10" s="61">
        <f>(H10-7.57)/7.57</f>
        <v>28.854689564068693</v>
      </c>
    </row>
    <row r="11" spans="1:9" ht="27.95" customHeight="1" thickBot="1">
      <c r="A11" s="63" t="s">
        <v>60</v>
      </c>
      <c r="B11" s="64">
        <f>SUM(B7:B10)</f>
        <v>150</v>
      </c>
      <c r="C11" s="65"/>
      <c r="D11" s="66">
        <f>SUM(D3+D5+D7+D8+D9+D10)</f>
        <v>11564652</v>
      </c>
      <c r="E11" s="65"/>
      <c r="F11" s="66">
        <f>SUM(F7:F10)</f>
        <v>649</v>
      </c>
      <c r="G11" s="65"/>
      <c r="H11" s="89">
        <f>SUM(H5+H7+H8+H9+H10)</f>
        <v>69353.170000000013</v>
      </c>
      <c r="I11" s="67"/>
    </row>
    <row r="12" spans="1:9" ht="27.95" customHeight="1">
      <c r="A12" s="13"/>
      <c r="B12" s="13"/>
      <c r="C12" s="13"/>
      <c r="D12" s="13"/>
      <c r="E12" s="13"/>
      <c r="F12" s="13"/>
      <c r="G12" s="13"/>
      <c r="H12" s="13"/>
      <c r="I12" s="13"/>
    </row>
    <row r="13" spans="1:9" ht="27.95" customHeight="1">
      <c r="A13" s="13"/>
      <c r="B13" s="13"/>
      <c r="C13" s="13"/>
      <c r="D13" s="13"/>
      <c r="E13" s="13"/>
      <c r="F13" s="13"/>
      <c r="G13" s="13"/>
      <c r="H13" s="13"/>
      <c r="I13" s="13"/>
    </row>
  </sheetData>
  <mergeCells count="1">
    <mergeCell ref="A1:I1"/>
  </mergeCells>
  <pageMargins left="0.75" right="0.75" top="1" bottom="1" header="0.5" footer="0.5"/>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8"/>
  <sheetViews>
    <sheetView workbookViewId="0">
      <selection sqref="A1:XFD1048576"/>
    </sheetView>
  </sheetViews>
  <sheetFormatPr baseColWidth="10" defaultRowHeight="17.100000000000001" customHeight="1"/>
  <cols>
    <col min="2" max="2" width="13.375" bestFit="1" customWidth="1"/>
    <col min="3" max="3" width="63.5" bestFit="1" customWidth="1"/>
    <col min="4" max="4" width="27.375" customWidth="1"/>
    <col min="5" max="5" width="15.625" customWidth="1"/>
  </cols>
  <sheetData>
    <row r="1" spans="1:5" ht="21">
      <c r="A1" s="126" t="s">
        <v>344</v>
      </c>
      <c r="B1" s="126"/>
      <c r="C1" s="126"/>
      <c r="D1" s="126"/>
      <c r="E1" s="126"/>
    </row>
    <row r="2" spans="1:5" ht="15.75">
      <c r="A2" s="90" t="s">
        <v>345</v>
      </c>
      <c r="B2" s="90" t="s">
        <v>346</v>
      </c>
      <c r="C2" s="90" t="s">
        <v>347</v>
      </c>
      <c r="D2" s="90" t="s">
        <v>348</v>
      </c>
      <c r="E2" s="90" t="s">
        <v>349</v>
      </c>
    </row>
    <row r="3" spans="1:5" ht="15.75">
      <c r="A3" s="127" t="s">
        <v>46</v>
      </c>
      <c r="B3" s="91" t="s">
        <v>350</v>
      </c>
      <c r="C3" s="92" t="s">
        <v>351</v>
      </c>
      <c r="D3" s="93">
        <f>'[1]Cuadro Febrero 2018'!D3</f>
        <v>1347</v>
      </c>
      <c r="E3" s="94">
        <f>D3/1500</f>
        <v>0.89800000000000002</v>
      </c>
    </row>
    <row r="4" spans="1:5" ht="15.75">
      <c r="A4" s="127"/>
      <c r="B4" s="91" t="s">
        <v>352</v>
      </c>
      <c r="C4" s="92" t="s">
        <v>353</v>
      </c>
      <c r="D4" s="93">
        <f>'[1]Cuadro Febrero 2018'!B3</f>
        <v>2042</v>
      </c>
      <c r="E4" s="94">
        <f>D4/2500</f>
        <v>0.81679999999999997</v>
      </c>
    </row>
    <row r="5" spans="1:5" ht="15.75">
      <c r="A5" s="127" t="s">
        <v>354</v>
      </c>
      <c r="B5" s="127" t="s">
        <v>50</v>
      </c>
      <c r="C5" s="92" t="s">
        <v>355</v>
      </c>
      <c r="D5" s="91" t="s">
        <v>356</v>
      </c>
      <c r="E5" s="94">
        <f>2/3</f>
        <v>0.66666666666666663</v>
      </c>
    </row>
    <row r="6" spans="1:5" ht="15.75">
      <c r="A6" s="127"/>
      <c r="B6" s="127"/>
      <c r="C6" s="92" t="s">
        <v>357</v>
      </c>
      <c r="D6" s="91" t="s">
        <v>358</v>
      </c>
      <c r="E6" s="95">
        <v>0</v>
      </c>
    </row>
    <row r="7" spans="1:5" ht="15.75">
      <c r="A7" s="127"/>
      <c r="B7" s="127"/>
      <c r="C7" s="92" t="s">
        <v>359</v>
      </c>
      <c r="D7" s="91" t="s">
        <v>360</v>
      </c>
      <c r="E7" s="96">
        <v>1</v>
      </c>
    </row>
    <row r="8" spans="1:5" ht="15.75">
      <c r="A8" s="127" t="s">
        <v>361</v>
      </c>
      <c r="B8" s="127" t="s">
        <v>53</v>
      </c>
      <c r="C8" s="92" t="s">
        <v>362</v>
      </c>
      <c r="D8" s="91">
        <v>1893</v>
      </c>
      <c r="E8" s="94">
        <f>D8/2150</f>
        <v>0.88046511627906976</v>
      </c>
    </row>
    <row r="9" spans="1:5" ht="15.75">
      <c r="A9" s="127"/>
      <c r="B9" s="127"/>
      <c r="C9" s="92" t="s">
        <v>363</v>
      </c>
      <c r="D9" s="91">
        <f>(129+109)/2</f>
        <v>119</v>
      </c>
      <c r="E9" s="96">
        <f>119/77</f>
        <v>1.5454545454545454</v>
      </c>
    </row>
    <row r="10" spans="1:5" ht="15.75">
      <c r="A10" s="127"/>
      <c r="B10" s="127"/>
      <c r="C10" s="92" t="s">
        <v>364</v>
      </c>
      <c r="D10" s="93">
        <f>(53700+'[1]Cuadro Enero 2018'!D7)/2</f>
        <v>51750</v>
      </c>
      <c r="E10" s="96">
        <f>D10/44280</f>
        <v>1.1686991869918699</v>
      </c>
    </row>
    <row r="11" spans="1:5" ht="15.75">
      <c r="A11" s="127"/>
      <c r="B11" s="127"/>
      <c r="C11" s="92" t="s">
        <v>365</v>
      </c>
      <c r="D11" s="91">
        <f>('[1]Cuadro Febrero 2018'!F7+'[1]Cuadro Enero 2018'!F7)/2</f>
        <v>587</v>
      </c>
      <c r="E11" s="96">
        <f>D11/368</f>
        <v>1.5951086956521738</v>
      </c>
    </row>
    <row r="12" spans="1:5" ht="15.75">
      <c r="A12" s="127"/>
      <c r="B12" s="127" t="s">
        <v>54</v>
      </c>
      <c r="C12" s="92" t="s">
        <v>366</v>
      </c>
      <c r="D12" s="91">
        <v>221</v>
      </c>
      <c r="E12" s="94">
        <f>221/300</f>
        <v>0.73666666666666669</v>
      </c>
    </row>
    <row r="13" spans="1:5" ht="15.75">
      <c r="A13" s="127"/>
      <c r="B13" s="127"/>
      <c r="C13" s="92" t="s">
        <v>367</v>
      </c>
      <c r="D13" s="91">
        <v>13</v>
      </c>
      <c r="E13" s="96">
        <f>13/12</f>
        <v>1.0833333333333333</v>
      </c>
    </row>
    <row r="14" spans="1:5" ht="15.75">
      <c r="A14" s="127"/>
      <c r="B14" s="127"/>
      <c r="C14" s="92" t="s">
        <v>368</v>
      </c>
      <c r="D14" s="93">
        <f>(6208+'[1]Cuadro Enero 2018'!D8)/2</f>
        <v>5098.5</v>
      </c>
      <c r="E14" s="96">
        <f>D14/2000</f>
        <v>2.5492499999999998</v>
      </c>
    </row>
    <row r="15" spans="1:5" ht="15.75">
      <c r="A15" s="127"/>
      <c r="B15" s="127"/>
      <c r="C15" s="92" t="s">
        <v>369</v>
      </c>
      <c r="D15" s="91">
        <f>('[1]Cuadro Febrero 2018'!F8+'[1]Cuadro Enero 2018'!F8)/2</f>
        <v>42.5</v>
      </c>
      <c r="E15" s="96">
        <f>D15/30</f>
        <v>1.4166666666666667</v>
      </c>
    </row>
    <row r="16" spans="1:5" ht="15.75">
      <c r="A16" s="127"/>
      <c r="B16" s="127" t="s">
        <v>55</v>
      </c>
      <c r="C16" s="92" t="s">
        <v>370</v>
      </c>
      <c r="D16" s="91">
        <v>16</v>
      </c>
      <c r="E16" s="94">
        <f>16/20</f>
        <v>0.8</v>
      </c>
    </row>
    <row r="17" spans="1:5" ht="15.75">
      <c r="A17" s="127"/>
      <c r="B17" s="127"/>
      <c r="C17" s="92" t="s">
        <v>371</v>
      </c>
      <c r="D17" s="91">
        <v>4</v>
      </c>
      <c r="E17" s="97">
        <f>D17/12</f>
        <v>0.33333333333333331</v>
      </c>
    </row>
    <row r="18" spans="1:5" ht="15.75">
      <c r="A18" s="127"/>
      <c r="B18" s="127"/>
      <c r="C18" s="92" t="s">
        <v>372</v>
      </c>
      <c r="D18" s="91">
        <f>210+157</f>
        <v>367</v>
      </c>
      <c r="E18" s="94">
        <f>D18/500</f>
        <v>0.73399999999999999</v>
      </c>
    </row>
  </sheetData>
  <mergeCells count="8">
    <mergeCell ref="A1:E1"/>
    <mergeCell ref="A3:A4"/>
    <mergeCell ref="A5:A7"/>
    <mergeCell ref="B5:B7"/>
    <mergeCell ref="A8:A18"/>
    <mergeCell ref="B8:B11"/>
    <mergeCell ref="B12:B15"/>
    <mergeCell ref="B16:B18"/>
  </mergeCells>
  <pageMargins left="0.75" right="0.75" top="1" bottom="1" header="0.5" footer="0.5"/>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2"/>
  <sheetViews>
    <sheetView workbookViewId="0">
      <selection activeCell="C3" sqref="C3:F3"/>
    </sheetView>
  </sheetViews>
  <sheetFormatPr baseColWidth="10" defaultRowHeight="15.75"/>
  <cols>
    <col min="1" max="1" width="101.125" style="3" customWidth="1"/>
    <col min="2" max="2" width="19.625" bestFit="1" customWidth="1"/>
    <col min="3" max="3" width="16.5" bestFit="1" customWidth="1"/>
    <col min="4" max="4" width="16.5" customWidth="1"/>
    <col min="5" max="5" width="22.125" bestFit="1" customWidth="1"/>
    <col min="6" max="6" width="18.625" bestFit="1" customWidth="1"/>
  </cols>
  <sheetData>
    <row r="1" spans="1:6">
      <c r="A1" s="4" t="s">
        <v>10</v>
      </c>
      <c r="B1" s="5" t="s">
        <v>0</v>
      </c>
      <c r="C1" s="5" t="s">
        <v>1</v>
      </c>
      <c r="D1" s="5" t="s">
        <v>2</v>
      </c>
      <c r="E1" s="5" t="s">
        <v>3</v>
      </c>
      <c r="F1" s="5" t="s">
        <v>4</v>
      </c>
    </row>
    <row r="2" spans="1:6" s="8" customFormat="1">
      <c r="A2" s="7" t="s">
        <v>126</v>
      </c>
      <c r="B2" s="8" t="s">
        <v>125</v>
      </c>
      <c r="C2" s="1">
        <v>67798</v>
      </c>
      <c r="D2" s="1">
        <v>338990</v>
      </c>
      <c r="E2" s="2">
        <v>4062</v>
      </c>
      <c r="F2" s="2">
        <v>2750</v>
      </c>
    </row>
    <row r="3" spans="1:6" s="8" customFormat="1">
      <c r="A3" s="7" t="s">
        <v>105</v>
      </c>
      <c r="B3" s="8" t="s">
        <v>31</v>
      </c>
      <c r="C3" s="45">
        <v>50000</v>
      </c>
      <c r="D3" s="45">
        <v>78000</v>
      </c>
      <c r="E3" s="46">
        <f>5469*3</f>
        <v>16407</v>
      </c>
      <c r="F3" s="46">
        <f>5469*3</f>
        <v>16407</v>
      </c>
    </row>
    <row r="4" spans="1:6" s="8" customFormat="1">
      <c r="A4" s="7" t="s">
        <v>106</v>
      </c>
      <c r="B4" s="8" t="s">
        <v>31</v>
      </c>
      <c r="C4" s="45">
        <v>50000</v>
      </c>
      <c r="D4" s="45">
        <v>78000</v>
      </c>
      <c r="E4" s="46">
        <v>5692</v>
      </c>
      <c r="F4" s="46">
        <v>5692</v>
      </c>
    </row>
    <row r="5" spans="1:6" s="8" customFormat="1">
      <c r="A5" s="7" t="s">
        <v>131</v>
      </c>
      <c r="B5" s="8" t="s">
        <v>132</v>
      </c>
      <c r="C5" s="1">
        <v>698</v>
      </c>
      <c r="D5" s="1">
        <v>3492</v>
      </c>
      <c r="E5" s="2">
        <v>522</v>
      </c>
      <c r="F5" s="2">
        <v>174</v>
      </c>
    </row>
    <row r="6" spans="1:6" s="8" customFormat="1">
      <c r="A6" s="41" t="s">
        <v>130</v>
      </c>
      <c r="B6" s="41" t="s">
        <v>127</v>
      </c>
      <c r="C6" s="43"/>
      <c r="D6" s="43" t="s">
        <v>129</v>
      </c>
      <c r="E6" s="44">
        <v>450</v>
      </c>
      <c r="F6" s="44">
        <v>150</v>
      </c>
    </row>
    <row r="7" spans="1:6">
      <c r="A7" s="7" t="s">
        <v>124</v>
      </c>
      <c r="B7" t="s">
        <v>123</v>
      </c>
      <c r="C7" s="1">
        <v>362147</v>
      </c>
      <c r="D7" s="1">
        <v>1810735</v>
      </c>
      <c r="E7" s="2">
        <v>8250</v>
      </c>
      <c r="F7" s="2">
        <v>2750</v>
      </c>
    </row>
    <row r="8" spans="1:6" s="41" customFormat="1">
      <c r="A8" s="42" t="s">
        <v>122</v>
      </c>
      <c r="B8" s="41" t="s">
        <v>121</v>
      </c>
      <c r="C8" s="1">
        <v>7369</v>
      </c>
      <c r="D8" s="1">
        <v>22107</v>
      </c>
      <c r="E8" s="2">
        <v>5410</v>
      </c>
      <c r="F8" s="2">
        <v>5410</v>
      </c>
    </row>
    <row r="9" spans="1:6">
      <c r="A9" s="7" t="s">
        <v>118</v>
      </c>
      <c r="B9" t="s">
        <v>24</v>
      </c>
      <c r="C9" s="1">
        <v>1678</v>
      </c>
      <c r="D9" s="1">
        <v>8390</v>
      </c>
      <c r="E9" s="2">
        <v>456</v>
      </c>
      <c r="F9" s="2">
        <v>152</v>
      </c>
    </row>
    <row r="10" spans="1:6">
      <c r="A10" s="7" t="s">
        <v>133</v>
      </c>
      <c r="B10" t="s">
        <v>113</v>
      </c>
      <c r="C10" s="1">
        <f>1833*4</f>
        <v>7332</v>
      </c>
      <c r="D10" s="1">
        <f>9165*4</f>
        <v>36660</v>
      </c>
      <c r="E10" s="2">
        <f>456*4</f>
        <v>1824</v>
      </c>
      <c r="F10" s="2">
        <f>152*4</f>
        <v>608</v>
      </c>
    </row>
    <row r="11" spans="1:6">
      <c r="A11" s="7" t="s">
        <v>117</v>
      </c>
      <c r="B11" t="s">
        <v>116</v>
      </c>
      <c r="C11" s="1">
        <v>2592</v>
      </c>
      <c r="D11" s="1">
        <v>12963</v>
      </c>
      <c r="E11" s="2">
        <v>708</v>
      </c>
      <c r="F11" s="2">
        <v>236</v>
      </c>
    </row>
    <row r="12" spans="1:6" s="8" customFormat="1">
      <c r="A12" s="7" t="s">
        <v>115</v>
      </c>
      <c r="B12" s="8" t="s">
        <v>17</v>
      </c>
      <c r="C12" s="1">
        <v>2162</v>
      </c>
      <c r="D12" s="1">
        <v>10813</v>
      </c>
      <c r="E12" s="2">
        <v>666</v>
      </c>
      <c r="F12" s="2">
        <v>222</v>
      </c>
    </row>
    <row r="13" spans="1:6">
      <c r="A13" s="7" t="s">
        <v>114</v>
      </c>
      <c r="B13" t="s">
        <v>5</v>
      </c>
      <c r="C13" s="1">
        <v>320779</v>
      </c>
      <c r="D13" s="1">
        <v>1603898</v>
      </c>
      <c r="E13" s="2">
        <v>7917</v>
      </c>
      <c r="F13" s="2">
        <v>2639</v>
      </c>
    </row>
    <row r="14" spans="1:6">
      <c r="A14" s="7" t="s">
        <v>111</v>
      </c>
      <c r="B14" t="s">
        <v>112</v>
      </c>
      <c r="C14" s="1">
        <v>1855</v>
      </c>
      <c r="D14" s="1">
        <v>9279</v>
      </c>
      <c r="E14" s="2">
        <v>636</v>
      </c>
      <c r="F14" s="2">
        <v>212</v>
      </c>
    </row>
    <row r="15" spans="1:6">
      <c r="A15" s="7" t="s">
        <v>109</v>
      </c>
      <c r="B15" t="s">
        <v>17</v>
      </c>
      <c r="C15" s="1">
        <v>2162</v>
      </c>
      <c r="D15" s="1">
        <v>10813</v>
      </c>
      <c r="E15" s="2">
        <v>666</v>
      </c>
      <c r="F15" s="2">
        <v>222</v>
      </c>
    </row>
    <row r="16" spans="1:6">
      <c r="A16" s="7" t="s">
        <v>110</v>
      </c>
      <c r="B16" t="s">
        <v>24</v>
      </c>
      <c r="C16" s="1">
        <v>1678</v>
      </c>
      <c r="D16" s="1">
        <v>8390</v>
      </c>
      <c r="E16" s="2">
        <v>456</v>
      </c>
      <c r="F16" s="2">
        <v>152</v>
      </c>
    </row>
    <row r="17" spans="1:13">
      <c r="A17" s="7" t="s">
        <v>108</v>
      </c>
      <c r="B17" t="s">
        <v>107</v>
      </c>
      <c r="C17" s="1"/>
      <c r="D17" s="1"/>
      <c r="E17" s="2"/>
      <c r="F17" s="2"/>
    </row>
    <row r="18" spans="1:13" ht="18.75">
      <c r="C18" s="6">
        <f>SUM(C3:C17)</f>
        <v>810452</v>
      </c>
      <c r="D18" s="6">
        <f>SUM(D3:D17)</f>
        <v>3693540</v>
      </c>
      <c r="E18" s="9">
        <f>SUM(E3:E17)</f>
        <v>50060</v>
      </c>
      <c r="F18" s="9">
        <f>SUM(F3:F17)</f>
        <v>35026</v>
      </c>
    </row>
    <row r="19" spans="1:13">
      <c r="C19" s="1"/>
      <c r="D19" s="1">
        <v>49800</v>
      </c>
      <c r="E19" s="2">
        <f>(D19*E18)/D18</f>
        <v>674.95898243961074</v>
      </c>
      <c r="F19" s="2"/>
    </row>
    <row r="20" spans="1:13">
      <c r="C20" s="1"/>
      <c r="D20" s="1">
        <v>607</v>
      </c>
      <c r="E20" s="2">
        <f>D20*2</f>
        <v>1214</v>
      </c>
      <c r="F20" s="2"/>
    </row>
    <row r="21" spans="1:13">
      <c r="C21" s="1"/>
      <c r="D21" s="1"/>
      <c r="E21" s="2">
        <f>E19+E20</f>
        <v>1888.9589824396107</v>
      </c>
      <c r="F21" s="2"/>
    </row>
    <row r="22" spans="1:13" ht="21.75">
      <c r="B22" s="10" t="s">
        <v>35</v>
      </c>
      <c r="C22" s="10" t="s">
        <v>36</v>
      </c>
      <c r="D22" s="10" t="s">
        <v>37</v>
      </c>
      <c r="E22" s="10" t="s">
        <v>38</v>
      </c>
      <c r="F22" s="10" t="s">
        <v>39</v>
      </c>
    </row>
    <row r="23" spans="1:13">
      <c r="B23" s="142">
        <v>324</v>
      </c>
      <c r="C23" s="142">
        <v>4</v>
      </c>
      <c r="D23" s="143">
        <v>1.23E-2</v>
      </c>
      <c r="E23" s="142">
        <v>3</v>
      </c>
      <c r="F23" s="143">
        <v>2.1600000000000001E-2</v>
      </c>
    </row>
    <row r="24" spans="1:13">
      <c r="B24" s="142"/>
      <c r="C24" s="142"/>
      <c r="D24" s="143"/>
      <c r="E24" s="142"/>
      <c r="F24" s="143"/>
    </row>
    <row r="25" spans="1:13">
      <c r="B25" s="142">
        <v>855</v>
      </c>
      <c r="C25" s="142">
        <v>3</v>
      </c>
      <c r="D25" s="143">
        <v>3.5000000000000001E-3</v>
      </c>
      <c r="E25" s="142">
        <v>4</v>
      </c>
      <c r="F25" s="143">
        <v>8.2000000000000007E-3</v>
      </c>
    </row>
    <row r="26" spans="1:13">
      <c r="B26" s="142"/>
      <c r="C26" s="142"/>
      <c r="D26" s="143"/>
      <c r="E26" s="142"/>
      <c r="F26" s="143"/>
    </row>
    <row r="27" spans="1:13">
      <c r="B27" s="142">
        <v>180</v>
      </c>
      <c r="C27" s="142" t="s">
        <v>40</v>
      </c>
      <c r="D27" s="142" t="s">
        <v>40</v>
      </c>
      <c r="E27" s="142">
        <v>1</v>
      </c>
      <c r="F27" s="143">
        <v>5.5999999999999999E-3</v>
      </c>
    </row>
    <row r="28" spans="1:13">
      <c r="B28" s="142"/>
      <c r="C28" s="142"/>
      <c r="D28" s="142"/>
      <c r="E28" s="142"/>
      <c r="F28" s="143"/>
      <c r="M28" t="s">
        <v>9</v>
      </c>
    </row>
    <row r="29" spans="1:13">
      <c r="B29" s="142">
        <v>230</v>
      </c>
      <c r="C29" s="142">
        <v>2</v>
      </c>
      <c r="D29" s="143">
        <v>8.6999999999999994E-3</v>
      </c>
      <c r="E29" s="142">
        <v>2</v>
      </c>
      <c r="F29" s="143">
        <v>1.7399999999999999E-2</v>
      </c>
    </row>
    <row r="30" spans="1:13">
      <c r="B30" s="142"/>
      <c r="C30" s="142"/>
      <c r="D30" s="143"/>
      <c r="E30" s="142"/>
      <c r="F30" s="143"/>
    </row>
    <row r="31" spans="1:13">
      <c r="A31"/>
      <c r="B31" s="142">
        <v>151</v>
      </c>
      <c r="C31" s="142" t="s">
        <v>40</v>
      </c>
      <c r="D31" s="142" t="s">
        <v>40</v>
      </c>
      <c r="E31" s="142" t="s">
        <v>40</v>
      </c>
      <c r="F31" s="142" t="s">
        <v>40</v>
      </c>
    </row>
    <row r="32" spans="1:13">
      <c r="A32"/>
      <c r="B32" s="142"/>
      <c r="C32" s="142"/>
      <c r="D32" s="142"/>
      <c r="E32" s="142"/>
      <c r="F32" s="142"/>
    </row>
    <row r="33" spans="1:6">
      <c r="A33"/>
      <c r="B33" s="142">
        <v>378</v>
      </c>
      <c r="C33" s="142">
        <v>1</v>
      </c>
      <c r="D33" s="143">
        <v>2.5999999999999999E-3</v>
      </c>
      <c r="E33" s="142">
        <v>1</v>
      </c>
      <c r="F33" s="143">
        <v>5.3E-3</v>
      </c>
    </row>
    <row r="34" spans="1:6">
      <c r="A34"/>
      <c r="B34" s="142"/>
      <c r="C34" s="142"/>
      <c r="D34" s="143"/>
      <c r="E34" s="142"/>
      <c r="F34" s="143"/>
    </row>
    <row r="35" spans="1:6">
      <c r="A35"/>
      <c r="B35" s="142">
        <v>275</v>
      </c>
      <c r="C35" s="142" t="s">
        <v>40</v>
      </c>
      <c r="D35" s="142" t="s">
        <v>40</v>
      </c>
      <c r="E35" s="142">
        <v>3</v>
      </c>
      <c r="F35" s="143">
        <v>1.09E-2</v>
      </c>
    </row>
    <row r="36" spans="1:6">
      <c r="A36"/>
      <c r="B36" s="142"/>
      <c r="C36" s="142"/>
      <c r="D36" s="142"/>
      <c r="E36" s="142"/>
      <c r="F36" s="143"/>
    </row>
    <row r="37" spans="1:6">
      <c r="A37"/>
      <c r="B37" s="142">
        <v>226</v>
      </c>
      <c r="C37" s="142">
        <v>3</v>
      </c>
      <c r="D37" s="143">
        <v>1.3299999999999999E-2</v>
      </c>
      <c r="E37" s="142">
        <v>2</v>
      </c>
      <c r="F37" s="143">
        <v>2.2100000000000002E-2</v>
      </c>
    </row>
    <row r="38" spans="1:6">
      <c r="A38"/>
      <c r="B38" s="142"/>
      <c r="C38" s="142"/>
      <c r="D38" s="143"/>
      <c r="E38" s="142"/>
      <c r="F38" s="143"/>
    </row>
    <row r="39" spans="1:6">
      <c r="A39"/>
      <c r="B39" s="11">
        <v>2619</v>
      </c>
      <c r="C39" s="11">
        <v>13</v>
      </c>
      <c r="D39" s="12">
        <v>4.0399999999999998E-2</v>
      </c>
      <c r="E39" s="11">
        <v>16</v>
      </c>
      <c r="F39" s="12">
        <v>9.11E-2</v>
      </c>
    </row>
    <row r="40" spans="1:6">
      <c r="A40"/>
      <c r="D40">
        <v>3989</v>
      </c>
      <c r="E40" s="2">
        <f>(D40*E18)/C18</f>
        <v>246.3925562525603</v>
      </c>
    </row>
    <row r="41" spans="1:6">
      <c r="A41"/>
      <c r="D41">
        <v>83</v>
      </c>
      <c r="E41">
        <f>(D41*E40)/D40</f>
        <v>5.1267440884839566</v>
      </c>
    </row>
    <row r="42" spans="1:6">
      <c r="A42"/>
      <c r="D42">
        <v>157</v>
      </c>
      <c r="E42">
        <f>(D42*E41)/D41</f>
        <v>9.697576167373267</v>
      </c>
    </row>
  </sheetData>
  <mergeCells count="40">
    <mergeCell ref="B35:B36"/>
    <mergeCell ref="C35:C36"/>
    <mergeCell ref="D35:D36"/>
    <mergeCell ref="E35:E36"/>
    <mergeCell ref="F35:F36"/>
    <mergeCell ref="B37:B38"/>
    <mergeCell ref="C37:C38"/>
    <mergeCell ref="D37:D38"/>
    <mergeCell ref="E37:E38"/>
    <mergeCell ref="F37:F38"/>
    <mergeCell ref="B31:B32"/>
    <mergeCell ref="C31:C32"/>
    <mergeCell ref="D31:D32"/>
    <mergeCell ref="E31:E32"/>
    <mergeCell ref="F31:F32"/>
    <mergeCell ref="B33:B34"/>
    <mergeCell ref="C33:C34"/>
    <mergeCell ref="D33:D34"/>
    <mergeCell ref="E33:E34"/>
    <mergeCell ref="F33:F34"/>
    <mergeCell ref="B27:B28"/>
    <mergeCell ref="C27:C28"/>
    <mergeCell ref="D27:D28"/>
    <mergeCell ref="E27:E28"/>
    <mergeCell ref="F27:F28"/>
    <mergeCell ref="B29:B30"/>
    <mergeCell ref="C29:C30"/>
    <mergeCell ref="D29:D30"/>
    <mergeCell ref="E29:E30"/>
    <mergeCell ref="F29:F30"/>
    <mergeCell ref="B23:B24"/>
    <mergeCell ref="C23:C24"/>
    <mergeCell ref="D23:D24"/>
    <mergeCell ref="E23:E24"/>
    <mergeCell ref="F23:F24"/>
    <mergeCell ref="B25:B26"/>
    <mergeCell ref="C25:C26"/>
    <mergeCell ref="D25:D26"/>
    <mergeCell ref="E25:E26"/>
    <mergeCell ref="F25:F26"/>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1"/>
  <sheetViews>
    <sheetView workbookViewId="0">
      <selection activeCell="E13" sqref="E13"/>
    </sheetView>
  </sheetViews>
  <sheetFormatPr baseColWidth="10" defaultColWidth="18" defaultRowHeight="33" customHeight="1"/>
  <cols>
    <col min="1" max="2" width="18" style="13"/>
    <col min="3" max="3" width="11.5" style="13" customWidth="1"/>
    <col min="4" max="4" width="24.375" style="13" customWidth="1"/>
    <col min="5" max="5" width="10.875" style="13" customWidth="1"/>
    <col min="6" max="6" width="18" style="13"/>
    <col min="7" max="7" width="13.125" style="13" customWidth="1"/>
    <col min="8" max="8" width="18" style="13"/>
    <col min="9" max="9" width="13.875" style="13" customWidth="1"/>
    <col min="10" max="16384" width="18" style="13"/>
  </cols>
  <sheetData>
    <row r="1" spans="1:9" ht="33" customHeight="1">
      <c r="A1" s="139" t="s">
        <v>61</v>
      </c>
      <c r="B1" s="140"/>
      <c r="C1" s="140"/>
      <c r="D1" s="140"/>
      <c r="E1" s="140"/>
      <c r="F1" s="140"/>
      <c r="G1" s="140"/>
      <c r="H1" s="140"/>
      <c r="I1" s="141"/>
    </row>
    <row r="2" spans="1:9" ht="33" customHeight="1">
      <c r="A2" s="57" t="s">
        <v>41</v>
      </c>
      <c r="B2" s="15" t="s">
        <v>47</v>
      </c>
      <c r="C2" s="15" t="s">
        <v>43</v>
      </c>
      <c r="D2" s="15" t="s">
        <v>57</v>
      </c>
      <c r="E2" s="15" t="s">
        <v>43</v>
      </c>
      <c r="F2" s="15" t="s">
        <v>49</v>
      </c>
      <c r="G2" s="15" t="s">
        <v>43</v>
      </c>
      <c r="H2" s="15" t="s">
        <v>48</v>
      </c>
      <c r="I2" s="58" t="s">
        <v>43</v>
      </c>
    </row>
    <row r="3" spans="1:9" ht="33" customHeight="1">
      <c r="A3" s="59" t="s">
        <v>46</v>
      </c>
      <c r="B3" s="22">
        <v>2513</v>
      </c>
      <c r="C3" s="23">
        <v>1.2378</v>
      </c>
      <c r="D3" s="22">
        <v>1608</v>
      </c>
      <c r="E3" s="23">
        <v>1</v>
      </c>
      <c r="F3" s="22">
        <v>6742</v>
      </c>
      <c r="G3" s="21">
        <v>0.96160000000000001</v>
      </c>
      <c r="H3" s="20">
        <v>0.56269999999999998</v>
      </c>
      <c r="I3" s="60">
        <v>0.12839999999999999</v>
      </c>
    </row>
    <row r="4" spans="1:9" ht="33" customHeight="1">
      <c r="A4" s="57" t="s">
        <v>41</v>
      </c>
      <c r="B4" s="15" t="s">
        <v>51</v>
      </c>
      <c r="C4" s="15" t="s">
        <v>43</v>
      </c>
      <c r="D4" s="15" t="s">
        <v>58</v>
      </c>
      <c r="E4" s="15" t="s">
        <v>43</v>
      </c>
      <c r="F4" s="15" t="s">
        <v>49</v>
      </c>
      <c r="G4" s="15" t="s">
        <v>43</v>
      </c>
      <c r="H4" s="15" t="s">
        <v>44</v>
      </c>
      <c r="I4" s="58" t="s">
        <v>43</v>
      </c>
    </row>
    <row r="5" spans="1:9" ht="33" customHeight="1">
      <c r="A5" s="59" t="s">
        <v>50</v>
      </c>
      <c r="B5" s="18">
        <v>21</v>
      </c>
      <c r="C5" s="25">
        <f>(B5-24)/24</f>
        <v>-0.125</v>
      </c>
      <c r="D5" s="22">
        <v>810452</v>
      </c>
      <c r="E5" s="25">
        <f>(D5-1357065)/1357065</f>
        <v>-0.40279058114386562</v>
      </c>
      <c r="F5" s="22">
        <v>3693540</v>
      </c>
      <c r="G5" s="25">
        <f>(F5-9418530)/9418530</f>
        <v>-0.60784326216511497</v>
      </c>
      <c r="H5" s="24">
        <v>50060</v>
      </c>
      <c r="I5" s="60">
        <f>(H5-516180)/516180</f>
        <v>-0.90301832694021467</v>
      </c>
    </row>
    <row r="6" spans="1:9" ht="33" customHeight="1">
      <c r="A6" s="57" t="s">
        <v>41</v>
      </c>
      <c r="B6" s="15" t="s">
        <v>42</v>
      </c>
      <c r="C6" s="15" t="s">
        <v>43</v>
      </c>
      <c r="D6" s="15" t="s">
        <v>59</v>
      </c>
      <c r="E6" s="15" t="s">
        <v>43</v>
      </c>
      <c r="F6" s="15" t="s">
        <v>52</v>
      </c>
      <c r="G6" s="15" t="s">
        <v>43</v>
      </c>
      <c r="H6" s="15" t="s">
        <v>44</v>
      </c>
      <c r="I6" s="58" t="s">
        <v>43</v>
      </c>
    </row>
    <row r="7" spans="1:9" ht="33" customHeight="1">
      <c r="A7" s="59" t="s">
        <v>53</v>
      </c>
      <c r="B7" s="18">
        <v>109</v>
      </c>
      <c r="C7" s="23">
        <f>(B7-63)/63</f>
        <v>0.73015873015873012</v>
      </c>
      <c r="D7" s="22">
        <v>49800</v>
      </c>
      <c r="E7" s="23">
        <f>(D7-36900)/36900</f>
        <v>0.34959349593495936</v>
      </c>
      <c r="F7" s="18">
        <v>607</v>
      </c>
      <c r="G7" s="23">
        <f>(F7-398)/398</f>
        <v>0.52512562814070352</v>
      </c>
      <c r="H7" s="26">
        <v>1868.66</v>
      </c>
      <c r="I7" s="61">
        <f>(H7-1281.08)/1281.08</f>
        <v>0.4586598807256379</v>
      </c>
    </row>
    <row r="8" spans="1:9" ht="33" customHeight="1">
      <c r="A8" s="59" t="s">
        <v>54</v>
      </c>
      <c r="B8" s="18">
        <v>13</v>
      </c>
      <c r="C8" s="23">
        <f>(B8-8)/8</f>
        <v>0.625</v>
      </c>
      <c r="D8" s="22">
        <v>3989</v>
      </c>
      <c r="E8" s="23">
        <f>(D8-2619)/2619</f>
        <v>0.52310042000763646</v>
      </c>
      <c r="F8" s="18">
        <v>27</v>
      </c>
      <c r="G8" s="23">
        <f>(F8-16)/16</f>
        <v>0.6875</v>
      </c>
      <c r="H8" s="26">
        <v>363.94</v>
      </c>
      <c r="I8" s="61">
        <f>(H8-238.95)/238.95</f>
        <v>0.52308014228918187</v>
      </c>
    </row>
    <row r="9" spans="1:9" ht="33" customHeight="1">
      <c r="A9" s="59" t="s">
        <v>55</v>
      </c>
      <c r="B9" s="18">
        <v>0</v>
      </c>
      <c r="C9" s="25">
        <f>(B9-2)/2</f>
        <v>-1</v>
      </c>
      <c r="D9" s="18">
        <v>157</v>
      </c>
      <c r="E9" s="23">
        <f>(D9-131)/131</f>
        <v>0.19847328244274809</v>
      </c>
      <c r="F9" s="18">
        <v>9</v>
      </c>
      <c r="G9" s="23">
        <f>(F9-7)/7</f>
        <v>0.2857142857142857</v>
      </c>
      <c r="H9" s="33">
        <v>14.32</v>
      </c>
      <c r="I9" s="61">
        <f>(H9-11.95)/11.95</f>
        <v>0.19832635983263608</v>
      </c>
    </row>
    <row r="10" spans="1:9" ht="33" customHeight="1">
      <c r="A10" s="62" t="s">
        <v>56</v>
      </c>
      <c r="B10" s="29">
        <v>3</v>
      </c>
      <c r="C10" s="25">
        <f>(B10-4)/4</f>
        <v>-0.25</v>
      </c>
      <c r="D10" s="29">
        <v>83</v>
      </c>
      <c r="E10" s="23">
        <f>(D10-10)/10</f>
        <v>7.3</v>
      </c>
      <c r="F10" s="29">
        <v>0</v>
      </c>
      <c r="G10" s="32">
        <v>0</v>
      </c>
      <c r="H10" s="33">
        <v>7.57</v>
      </c>
      <c r="I10" s="61">
        <f>(H10-0.91)/0.91</f>
        <v>7.3186813186813184</v>
      </c>
    </row>
    <row r="11" spans="1:9" ht="33" customHeight="1" thickBot="1">
      <c r="A11" s="63" t="s">
        <v>60</v>
      </c>
      <c r="B11" s="64">
        <f>SUM(B7:B10)</f>
        <v>125</v>
      </c>
      <c r="C11" s="65"/>
      <c r="D11" s="66">
        <f>SUM(D3+D5+D7+D8+D9+D10)</f>
        <v>866089</v>
      </c>
      <c r="E11" s="65"/>
      <c r="F11" s="66">
        <f>SUM(F7:F10)</f>
        <v>643</v>
      </c>
      <c r="G11" s="65"/>
      <c r="H11" s="66">
        <f>SUM(H3+H5+H7+H8+H9+H10)</f>
        <v>52315.052700000007</v>
      </c>
      <c r="I11" s="67"/>
    </row>
  </sheetData>
  <mergeCells count="1">
    <mergeCell ref="A1:I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29"/>
  <sheetViews>
    <sheetView workbookViewId="0">
      <selection activeCell="G30" sqref="G30"/>
    </sheetView>
  </sheetViews>
  <sheetFormatPr baseColWidth="10" defaultRowHeight="15.75"/>
  <sheetData>
    <row r="1" spans="1:8" ht="20.25">
      <c r="A1" s="38" t="s">
        <v>62</v>
      </c>
      <c r="B1" s="38" t="s">
        <v>63</v>
      </c>
      <c r="C1" s="38" t="s">
        <v>64</v>
      </c>
      <c r="D1" s="38" t="s">
        <v>35</v>
      </c>
      <c r="E1" s="38" t="s">
        <v>36</v>
      </c>
      <c r="F1" s="38" t="s">
        <v>37</v>
      </c>
      <c r="G1" s="38" t="s">
        <v>38</v>
      </c>
      <c r="H1" s="38" t="s">
        <v>39</v>
      </c>
    </row>
    <row r="2" spans="1:8">
      <c r="A2" s="39" t="s">
        <v>67</v>
      </c>
      <c r="B2" s="131" t="s">
        <v>68</v>
      </c>
      <c r="C2" s="131" t="s">
        <v>40</v>
      </c>
      <c r="D2" s="131">
        <v>183</v>
      </c>
      <c r="E2" s="131">
        <v>2</v>
      </c>
      <c r="F2" s="131" t="s">
        <v>69</v>
      </c>
      <c r="G2" s="131">
        <v>2</v>
      </c>
      <c r="H2" s="131" t="s">
        <v>70</v>
      </c>
    </row>
    <row r="3" spans="1:8">
      <c r="A3" s="40" t="s">
        <v>65</v>
      </c>
      <c r="B3" s="131"/>
      <c r="C3" s="131"/>
      <c r="D3" s="131"/>
      <c r="E3" s="131"/>
      <c r="F3" s="131"/>
      <c r="G3" s="131"/>
      <c r="H3" s="131"/>
    </row>
    <row r="4" spans="1:8">
      <c r="A4" s="39" t="s">
        <v>71</v>
      </c>
      <c r="B4" s="131" t="s">
        <v>72</v>
      </c>
      <c r="C4" s="131" t="s">
        <v>40</v>
      </c>
      <c r="D4" s="131">
        <v>163</v>
      </c>
      <c r="E4" s="131">
        <v>1</v>
      </c>
      <c r="F4" s="131" t="s">
        <v>66</v>
      </c>
      <c r="G4" s="131">
        <v>1</v>
      </c>
      <c r="H4" s="131" t="s">
        <v>73</v>
      </c>
    </row>
    <row r="5" spans="1:8">
      <c r="A5" s="40" t="s">
        <v>65</v>
      </c>
      <c r="B5" s="131"/>
      <c r="C5" s="131"/>
      <c r="D5" s="131"/>
      <c r="E5" s="131"/>
      <c r="F5" s="131"/>
      <c r="G5" s="131"/>
      <c r="H5" s="131"/>
    </row>
    <row r="6" spans="1:8">
      <c r="A6" s="39" t="s">
        <v>74</v>
      </c>
      <c r="B6" s="131" t="s">
        <v>75</v>
      </c>
      <c r="C6" s="131" t="s">
        <v>40</v>
      </c>
      <c r="D6" s="131">
        <v>111</v>
      </c>
      <c r="E6" s="131">
        <v>2</v>
      </c>
      <c r="F6" s="131" t="s">
        <v>76</v>
      </c>
      <c r="G6" s="131">
        <v>2</v>
      </c>
      <c r="H6" s="131" t="s">
        <v>77</v>
      </c>
    </row>
    <row r="7" spans="1:8">
      <c r="A7" s="40" t="s">
        <v>65</v>
      </c>
      <c r="B7" s="131"/>
      <c r="C7" s="131"/>
      <c r="D7" s="131"/>
      <c r="E7" s="131"/>
      <c r="F7" s="131"/>
      <c r="G7" s="131"/>
      <c r="H7" s="131"/>
    </row>
    <row r="8" spans="1:8">
      <c r="A8" s="39" t="s">
        <v>78</v>
      </c>
      <c r="B8" s="131" t="s">
        <v>79</v>
      </c>
      <c r="C8" s="131" t="s">
        <v>40</v>
      </c>
      <c r="D8" s="131">
        <v>164</v>
      </c>
      <c r="E8" s="131">
        <v>1</v>
      </c>
      <c r="F8" s="131" t="s">
        <v>66</v>
      </c>
      <c r="G8" s="131">
        <v>2</v>
      </c>
      <c r="H8" s="131" t="s">
        <v>80</v>
      </c>
    </row>
    <row r="9" spans="1:8">
      <c r="A9" s="40" t="s">
        <v>65</v>
      </c>
      <c r="B9" s="131"/>
      <c r="C9" s="131"/>
      <c r="D9" s="131"/>
      <c r="E9" s="131"/>
      <c r="F9" s="131"/>
      <c r="G9" s="131"/>
      <c r="H9" s="131"/>
    </row>
    <row r="10" spans="1:8">
      <c r="A10" s="39" t="s">
        <v>81</v>
      </c>
      <c r="B10" s="131" t="s">
        <v>82</v>
      </c>
      <c r="C10" s="131" t="s">
        <v>40</v>
      </c>
      <c r="D10" s="131">
        <v>289</v>
      </c>
      <c r="E10" s="131">
        <v>3</v>
      </c>
      <c r="F10" s="131" t="s">
        <v>83</v>
      </c>
      <c r="G10" s="131">
        <v>1</v>
      </c>
      <c r="H10" s="131" t="s">
        <v>84</v>
      </c>
    </row>
    <row r="11" spans="1:8">
      <c r="A11" s="40" t="s">
        <v>65</v>
      </c>
      <c r="B11" s="131"/>
      <c r="C11" s="131"/>
      <c r="D11" s="131"/>
      <c r="E11" s="131"/>
      <c r="F11" s="131"/>
      <c r="G11" s="131"/>
      <c r="H11" s="131"/>
    </row>
    <row r="12" spans="1:8">
      <c r="A12" s="39" t="s">
        <v>85</v>
      </c>
      <c r="B12" s="131" t="s">
        <v>86</v>
      </c>
      <c r="C12" s="131" t="s">
        <v>40</v>
      </c>
      <c r="D12" s="131">
        <v>130</v>
      </c>
      <c r="E12" s="131">
        <v>1</v>
      </c>
      <c r="F12" s="131" t="s">
        <v>87</v>
      </c>
      <c r="G12" s="131" t="s">
        <v>40</v>
      </c>
      <c r="H12" s="131" t="s">
        <v>87</v>
      </c>
    </row>
    <row r="13" spans="1:8">
      <c r="A13" s="40" t="s">
        <v>65</v>
      </c>
      <c r="B13" s="131"/>
      <c r="C13" s="131"/>
      <c r="D13" s="131"/>
      <c r="E13" s="131"/>
      <c r="F13" s="131"/>
      <c r="G13" s="131"/>
      <c r="H13" s="131"/>
    </row>
    <row r="14" spans="1:8">
      <c r="A14" s="39" t="s">
        <v>71</v>
      </c>
      <c r="B14" s="131" t="s">
        <v>88</v>
      </c>
      <c r="C14" s="131" t="s">
        <v>40</v>
      </c>
      <c r="D14" s="131">
        <v>537</v>
      </c>
      <c r="E14" s="131">
        <v>3</v>
      </c>
      <c r="F14" s="131" t="s">
        <v>89</v>
      </c>
      <c r="G14" s="131">
        <v>1</v>
      </c>
      <c r="H14" s="131" t="s">
        <v>90</v>
      </c>
    </row>
    <row r="15" spans="1:8">
      <c r="A15" s="40" t="s">
        <v>65</v>
      </c>
      <c r="B15" s="131"/>
      <c r="C15" s="131"/>
      <c r="D15" s="131"/>
      <c r="E15" s="131"/>
      <c r="F15" s="131"/>
      <c r="G15" s="131"/>
      <c r="H15" s="131"/>
    </row>
    <row r="16" spans="1:8">
      <c r="A16" s="39" t="s">
        <v>91</v>
      </c>
      <c r="B16" s="131" t="s">
        <v>92</v>
      </c>
      <c r="C16" s="131" t="s">
        <v>40</v>
      </c>
      <c r="D16" s="131">
        <v>232</v>
      </c>
      <c r="E16" s="131">
        <v>7</v>
      </c>
      <c r="F16" s="131" t="s">
        <v>93</v>
      </c>
      <c r="G16" s="131">
        <v>4</v>
      </c>
      <c r="H16" s="131" t="s">
        <v>94</v>
      </c>
    </row>
    <row r="17" spans="1:8">
      <c r="A17" s="40" t="s">
        <v>65</v>
      </c>
      <c r="B17" s="131"/>
      <c r="C17" s="131"/>
      <c r="D17" s="131"/>
      <c r="E17" s="131"/>
      <c r="F17" s="131"/>
      <c r="G17" s="131"/>
      <c r="H17" s="131"/>
    </row>
    <row r="18" spans="1:8">
      <c r="A18" s="39" t="s">
        <v>95</v>
      </c>
      <c r="B18" s="132">
        <v>43405</v>
      </c>
      <c r="C18" s="131" t="s">
        <v>40</v>
      </c>
      <c r="D18" s="131">
        <v>228</v>
      </c>
      <c r="E18" s="131">
        <v>9</v>
      </c>
      <c r="F18" s="131" t="s">
        <v>96</v>
      </c>
      <c r="G18" s="131" t="s">
        <v>40</v>
      </c>
      <c r="H18" s="131" t="s">
        <v>96</v>
      </c>
    </row>
    <row r="19" spans="1:8">
      <c r="A19" s="40" t="s">
        <v>65</v>
      </c>
      <c r="B19" s="132"/>
      <c r="C19" s="131"/>
      <c r="D19" s="131"/>
      <c r="E19" s="131"/>
      <c r="F19" s="131"/>
      <c r="G19" s="131"/>
      <c r="H19" s="131"/>
    </row>
    <row r="20" spans="1:8">
      <c r="A20" s="39" t="s">
        <v>97</v>
      </c>
      <c r="B20" s="132">
        <v>43344</v>
      </c>
      <c r="C20" s="131" t="s">
        <v>40</v>
      </c>
      <c r="D20" s="131">
        <v>314</v>
      </c>
      <c r="E20" s="131" t="s">
        <v>40</v>
      </c>
      <c r="F20" s="131" t="s">
        <v>40</v>
      </c>
      <c r="G20" s="131">
        <v>3</v>
      </c>
      <c r="H20" s="131" t="s">
        <v>98</v>
      </c>
    </row>
    <row r="21" spans="1:8">
      <c r="A21" s="40" t="s">
        <v>65</v>
      </c>
      <c r="B21" s="132"/>
      <c r="C21" s="131"/>
      <c r="D21" s="131"/>
      <c r="E21" s="131"/>
      <c r="F21" s="131"/>
      <c r="G21" s="131"/>
      <c r="H21" s="131"/>
    </row>
    <row r="22" spans="1:8">
      <c r="A22" s="39" t="s">
        <v>99</v>
      </c>
      <c r="B22" s="132">
        <v>43160</v>
      </c>
      <c r="C22" s="131" t="s">
        <v>40</v>
      </c>
      <c r="D22" s="131">
        <v>662</v>
      </c>
      <c r="E22" s="131">
        <v>2</v>
      </c>
      <c r="F22" s="131" t="s">
        <v>100</v>
      </c>
      <c r="G22" s="131">
        <v>4</v>
      </c>
      <c r="H22" s="131" t="s">
        <v>101</v>
      </c>
    </row>
    <row r="23" spans="1:8">
      <c r="A23" s="40" t="s">
        <v>65</v>
      </c>
      <c r="B23" s="132"/>
      <c r="C23" s="131"/>
      <c r="D23" s="131"/>
      <c r="E23" s="131"/>
      <c r="F23" s="131"/>
      <c r="G23" s="131"/>
      <c r="H23" s="131"/>
    </row>
    <row r="24" spans="1:8">
      <c r="A24" s="39" t="s">
        <v>102</v>
      </c>
      <c r="B24" s="132">
        <v>43132</v>
      </c>
      <c r="C24" s="131" t="s">
        <v>40</v>
      </c>
      <c r="D24" s="131">
        <v>184</v>
      </c>
      <c r="E24" s="131">
        <v>1</v>
      </c>
      <c r="F24" s="131" t="s">
        <v>103</v>
      </c>
      <c r="G24" s="131" t="s">
        <v>40</v>
      </c>
      <c r="H24" s="131" t="s">
        <v>103</v>
      </c>
    </row>
    <row r="25" spans="1:8">
      <c r="A25" s="40" t="s">
        <v>65</v>
      </c>
      <c r="B25" s="132"/>
      <c r="C25" s="131"/>
      <c r="D25" s="131"/>
      <c r="E25" s="131"/>
      <c r="F25" s="131"/>
      <c r="G25" s="131"/>
      <c r="H25" s="131"/>
    </row>
    <row r="26" spans="1:8">
      <c r="A26" s="39" t="s">
        <v>104</v>
      </c>
      <c r="B26" s="132">
        <v>43160</v>
      </c>
      <c r="C26" s="131" t="s">
        <v>40</v>
      </c>
      <c r="D26" s="131">
        <v>792</v>
      </c>
      <c r="E26" s="131"/>
      <c r="F26" s="131"/>
      <c r="G26" s="131">
        <v>7</v>
      </c>
      <c r="H26" s="131"/>
    </row>
    <row r="27" spans="1:8">
      <c r="A27" s="40" t="s">
        <v>65</v>
      </c>
      <c r="B27" s="132"/>
      <c r="C27" s="131"/>
      <c r="D27" s="131"/>
      <c r="E27" s="131"/>
      <c r="F27" s="131"/>
      <c r="G27" s="131"/>
      <c r="H27" s="131"/>
    </row>
    <row r="29" spans="1:8">
      <c r="D29">
        <f>SUM(D2:D27)</f>
        <v>3989</v>
      </c>
      <c r="G29">
        <f>SUM(G2:G27)</f>
        <v>27</v>
      </c>
    </row>
  </sheetData>
  <mergeCells count="91">
    <mergeCell ref="H24:H25"/>
    <mergeCell ref="B26:B27"/>
    <mergeCell ref="C26:C27"/>
    <mergeCell ref="D26:D27"/>
    <mergeCell ref="E26:E27"/>
    <mergeCell ref="F26:F27"/>
    <mergeCell ref="G26:G27"/>
    <mergeCell ref="H26:H27"/>
    <mergeCell ref="B24:B25"/>
    <mergeCell ref="C24:C25"/>
    <mergeCell ref="D24:D25"/>
    <mergeCell ref="E24:E25"/>
    <mergeCell ref="F24:F25"/>
    <mergeCell ref="G24:G25"/>
    <mergeCell ref="H20:H21"/>
    <mergeCell ref="B22:B23"/>
    <mergeCell ref="C22:C23"/>
    <mergeCell ref="D22:D23"/>
    <mergeCell ref="E22:E23"/>
    <mergeCell ref="F22:F23"/>
    <mergeCell ref="G22:G23"/>
    <mergeCell ref="H22:H23"/>
    <mergeCell ref="B20:B21"/>
    <mergeCell ref="C20:C21"/>
    <mergeCell ref="D20:D21"/>
    <mergeCell ref="E20:E21"/>
    <mergeCell ref="F20:F21"/>
    <mergeCell ref="G20:G21"/>
    <mergeCell ref="H16:H17"/>
    <mergeCell ref="B18:B19"/>
    <mergeCell ref="C18:C19"/>
    <mergeCell ref="D18:D19"/>
    <mergeCell ref="E18:E19"/>
    <mergeCell ref="F18:F19"/>
    <mergeCell ref="G18:G19"/>
    <mergeCell ref="H18:H19"/>
    <mergeCell ref="B16:B17"/>
    <mergeCell ref="C16:C17"/>
    <mergeCell ref="D16:D17"/>
    <mergeCell ref="E16:E17"/>
    <mergeCell ref="F16:F17"/>
    <mergeCell ref="G16:G17"/>
    <mergeCell ref="H12:H13"/>
    <mergeCell ref="B14:B15"/>
    <mergeCell ref="C14:C15"/>
    <mergeCell ref="D14:D15"/>
    <mergeCell ref="E14:E15"/>
    <mergeCell ref="F14:F15"/>
    <mergeCell ref="G14:G15"/>
    <mergeCell ref="H14:H15"/>
    <mergeCell ref="B12:B13"/>
    <mergeCell ref="C12:C13"/>
    <mergeCell ref="D12:D13"/>
    <mergeCell ref="E12:E13"/>
    <mergeCell ref="F12:F13"/>
    <mergeCell ref="G12:G13"/>
    <mergeCell ref="H8:H9"/>
    <mergeCell ref="B10:B11"/>
    <mergeCell ref="C10:C11"/>
    <mergeCell ref="D10:D11"/>
    <mergeCell ref="E10:E11"/>
    <mergeCell ref="F10:F11"/>
    <mergeCell ref="G10:G11"/>
    <mergeCell ref="H10:H11"/>
    <mergeCell ref="B8:B9"/>
    <mergeCell ref="C8:C9"/>
    <mergeCell ref="D8:D9"/>
    <mergeCell ref="E8:E9"/>
    <mergeCell ref="F8:F9"/>
    <mergeCell ref="G8:G9"/>
    <mergeCell ref="H4:H5"/>
    <mergeCell ref="B6:B7"/>
    <mergeCell ref="C6:C7"/>
    <mergeCell ref="D6:D7"/>
    <mergeCell ref="E6:E7"/>
    <mergeCell ref="F6:F7"/>
    <mergeCell ref="G6:G7"/>
    <mergeCell ref="H6:H7"/>
    <mergeCell ref="B4:B5"/>
    <mergeCell ref="C4:C5"/>
    <mergeCell ref="D4:D5"/>
    <mergeCell ref="E4:E5"/>
    <mergeCell ref="F4:F5"/>
    <mergeCell ref="G4:G5"/>
    <mergeCell ref="G2:G3"/>
    <mergeCell ref="H2:H3"/>
    <mergeCell ref="B2:B3"/>
    <mergeCell ref="C2:C3"/>
    <mergeCell ref="D2:D3"/>
    <mergeCell ref="E2:E3"/>
    <mergeCell ref="F2:F3"/>
  </mergeCells>
  <hyperlinks>
    <hyperlink ref="A2" r:id="rId1" xr:uid="{00000000-0004-0000-0A00-000000000000}"/>
    <hyperlink ref="A4" r:id="rId2" xr:uid="{00000000-0004-0000-0A00-000001000000}"/>
    <hyperlink ref="A6" r:id="rId3" xr:uid="{00000000-0004-0000-0A00-000002000000}"/>
    <hyperlink ref="A8" r:id="rId4" xr:uid="{00000000-0004-0000-0A00-000003000000}"/>
    <hyperlink ref="A10" r:id="rId5" xr:uid="{00000000-0004-0000-0A00-000004000000}"/>
    <hyperlink ref="A12" r:id="rId6" xr:uid="{00000000-0004-0000-0A00-000005000000}"/>
    <hyperlink ref="A14" r:id="rId7" xr:uid="{00000000-0004-0000-0A00-000006000000}"/>
    <hyperlink ref="A16" r:id="rId8" xr:uid="{00000000-0004-0000-0A00-000007000000}"/>
    <hyperlink ref="A18" r:id="rId9" xr:uid="{00000000-0004-0000-0A00-000008000000}"/>
    <hyperlink ref="A20" r:id="rId10" xr:uid="{00000000-0004-0000-0A00-000009000000}"/>
    <hyperlink ref="A22" r:id="rId11" xr:uid="{00000000-0004-0000-0A00-00000A000000}"/>
    <hyperlink ref="A24" r:id="rId12" xr:uid="{00000000-0004-0000-0A00-00000B000000}"/>
    <hyperlink ref="A26" r:id="rId13" xr:uid="{00000000-0004-0000-0A00-00000C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44"/>
  <sheetViews>
    <sheetView workbookViewId="0">
      <selection activeCell="C12" sqref="C12:F12"/>
    </sheetView>
  </sheetViews>
  <sheetFormatPr baseColWidth="10" defaultRowHeight="15.75"/>
  <cols>
    <col min="1" max="1" width="59.125" style="3" customWidth="1"/>
    <col min="2" max="2" width="19.625" bestFit="1" customWidth="1"/>
    <col min="3" max="3" width="16.5" bestFit="1" customWidth="1"/>
    <col min="4" max="4" width="16.5" customWidth="1"/>
    <col min="5" max="5" width="22.125" bestFit="1" customWidth="1"/>
    <col min="6" max="6" width="18.625" bestFit="1" customWidth="1"/>
  </cols>
  <sheetData>
    <row r="1" spans="1:6">
      <c r="A1" s="4" t="s">
        <v>10</v>
      </c>
      <c r="B1" s="5" t="s">
        <v>0</v>
      </c>
      <c r="C1" s="5" t="s">
        <v>1</v>
      </c>
      <c r="D1" s="5" t="s">
        <v>2</v>
      </c>
      <c r="E1" s="5" t="s">
        <v>3</v>
      </c>
      <c r="F1" s="5" t="s">
        <v>4</v>
      </c>
    </row>
    <row r="2" spans="1:6" s="8" customFormat="1">
      <c r="A2" s="7" t="s">
        <v>26</v>
      </c>
      <c r="B2" s="8" t="s">
        <v>30</v>
      </c>
      <c r="C2" s="1">
        <v>114781</v>
      </c>
      <c r="D2" s="1">
        <v>244347</v>
      </c>
      <c r="E2" s="2">
        <v>43692</v>
      </c>
      <c r="F2" s="2">
        <v>43692</v>
      </c>
    </row>
    <row r="3" spans="1:6" s="8" customFormat="1">
      <c r="A3" s="7" t="s">
        <v>27</v>
      </c>
      <c r="B3" s="8" t="s">
        <v>31</v>
      </c>
      <c r="C3" s="1">
        <v>50000</v>
      </c>
      <c r="D3" s="1">
        <v>78000</v>
      </c>
      <c r="E3" s="2">
        <f>5469*7</f>
        <v>38283</v>
      </c>
      <c r="F3" s="2">
        <f>5469*7</f>
        <v>38283</v>
      </c>
    </row>
    <row r="4" spans="1:6" s="8" customFormat="1">
      <c r="A4" s="7" t="s">
        <v>28</v>
      </c>
      <c r="B4" s="8" t="s">
        <v>32</v>
      </c>
      <c r="C4" s="1">
        <v>38369</v>
      </c>
      <c r="D4" s="1">
        <v>82728</v>
      </c>
      <c r="E4" s="2">
        <v>8065</v>
      </c>
      <c r="F4" s="2">
        <v>8065</v>
      </c>
    </row>
    <row r="5" spans="1:6" s="8" customFormat="1">
      <c r="A5" s="7" t="s">
        <v>28</v>
      </c>
      <c r="B5" s="8" t="s">
        <v>29</v>
      </c>
      <c r="C5" s="1">
        <v>183704</v>
      </c>
      <c r="D5" s="1">
        <v>918524</v>
      </c>
      <c r="E5" s="2">
        <v>6423</v>
      </c>
      <c r="F5" s="2">
        <v>2141</v>
      </c>
    </row>
    <row r="6" spans="1:6" s="8" customFormat="1">
      <c r="A6" s="7" t="s">
        <v>33</v>
      </c>
      <c r="B6" s="8" t="s">
        <v>34</v>
      </c>
      <c r="C6" s="1"/>
      <c r="D6" s="1"/>
      <c r="E6" s="2"/>
      <c r="F6" s="2">
        <v>414882</v>
      </c>
    </row>
    <row r="7" spans="1:6" ht="31.5">
      <c r="A7" s="7" t="s">
        <v>18</v>
      </c>
      <c r="B7" s="8" t="s">
        <v>19</v>
      </c>
      <c r="C7" s="1">
        <v>1138</v>
      </c>
      <c r="D7" s="1">
        <v>5693</v>
      </c>
      <c r="E7" s="2">
        <v>567</v>
      </c>
      <c r="F7" s="2">
        <v>189</v>
      </c>
    </row>
    <row r="8" spans="1:6" s="8" customFormat="1">
      <c r="A8" s="7" t="s">
        <v>16</v>
      </c>
      <c r="B8" s="8" t="s">
        <v>17</v>
      </c>
      <c r="C8" s="1">
        <v>2162</v>
      </c>
      <c r="D8" s="1">
        <v>10813</v>
      </c>
      <c r="E8" s="2">
        <v>666</v>
      </c>
      <c r="F8" s="2">
        <v>222</v>
      </c>
    </row>
    <row r="9" spans="1:6" ht="31.5">
      <c r="A9" s="3" t="s">
        <v>11</v>
      </c>
      <c r="B9" t="s">
        <v>5</v>
      </c>
      <c r="C9" s="1">
        <v>320779</v>
      </c>
      <c r="D9" s="1">
        <v>1603898</v>
      </c>
      <c r="E9" s="2">
        <v>7917</v>
      </c>
      <c r="F9" s="2">
        <v>2639</v>
      </c>
    </row>
    <row r="10" spans="1:6" ht="31.5">
      <c r="A10" s="3" t="s">
        <v>11</v>
      </c>
      <c r="B10" t="s">
        <v>15</v>
      </c>
      <c r="C10" s="1">
        <v>352720</v>
      </c>
      <c r="D10" s="1">
        <v>1763600</v>
      </c>
      <c r="E10" s="2">
        <v>1470</v>
      </c>
      <c r="F10" s="2">
        <v>490</v>
      </c>
    </row>
    <row r="11" spans="1:6" ht="31.5">
      <c r="A11" s="3" t="s">
        <v>11</v>
      </c>
      <c r="B11" t="s">
        <v>6</v>
      </c>
      <c r="C11" s="1">
        <v>162857</v>
      </c>
      <c r="D11" s="1">
        <v>814287</v>
      </c>
      <c r="E11" s="2">
        <v>6114</v>
      </c>
      <c r="F11" s="2">
        <v>2038</v>
      </c>
    </row>
    <row r="12" spans="1:6" ht="31.5">
      <c r="A12" s="3" t="s">
        <v>11</v>
      </c>
      <c r="B12" t="s">
        <v>7</v>
      </c>
      <c r="C12" s="1">
        <v>55988</v>
      </c>
      <c r="D12" s="1">
        <v>279940</v>
      </c>
      <c r="E12" s="2">
        <v>3672</v>
      </c>
      <c r="F12" s="2">
        <v>1224</v>
      </c>
    </row>
    <row r="13" spans="1:6" ht="31.5">
      <c r="A13" s="3" t="s">
        <v>11</v>
      </c>
      <c r="B13" t="s">
        <v>8</v>
      </c>
      <c r="C13" s="1">
        <v>2605</v>
      </c>
      <c r="D13" s="1">
        <v>13025</v>
      </c>
      <c r="E13" s="2">
        <v>708</v>
      </c>
      <c r="F13" s="2">
        <v>236</v>
      </c>
    </row>
    <row r="14" spans="1:6" ht="31.5">
      <c r="A14" s="3" t="s">
        <v>11</v>
      </c>
      <c r="B14" t="s">
        <v>12</v>
      </c>
      <c r="C14" s="1">
        <v>63608</v>
      </c>
      <c r="D14" s="1">
        <v>3561900</v>
      </c>
      <c r="E14" s="2">
        <v>3930</v>
      </c>
      <c r="F14" s="2">
        <v>1310</v>
      </c>
    </row>
    <row r="15" spans="1:6">
      <c r="A15" s="3" t="s">
        <v>14</v>
      </c>
      <c r="B15" t="s">
        <v>13</v>
      </c>
      <c r="C15" s="1">
        <v>2836</v>
      </c>
      <c r="D15" s="1">
        <v>14182</v>
      </c>
      <c r="E15" s="2">
        <v>729</v>
      </c>
      <c r="F15" s="2">
        <v>243</v>
      </c>
    </row>
    <row r="16" spans="1:6">
      <c r="A16" s="3" t="s">
        <v>20</v>
      </c>
      <c r="B16" t="s">
        <v>21</v>
      </c>
      <c r="C16" s="1"/>
      <c r="D16" s="1"/>
      <c r="E16" s="2"/>
      <c r="F16" s="2"/>
    </row>
    <row r="17" spans="1:13" ht="31.5">
      <c r="A17" s="3" t="s">
        <v>22</v>
      </c>
      <c r="B17" t="s">
        <v>17</v>
      </c>
      <c r="C17" s="1">
        <v>2162</v>
      </c>
      <c r="D17" s="1">
        <v>10813</v>
      </c>
      <c r="E17" s="2">
        <v>666</v>
      </c>
      <c r="F17" s="2">
        <v>222</v>
      </c>
    </row>
    <row r="18" spans="1:13">
      <c r="A18" s="3" t="s">
        <v>23</v>
      </c>
      <c r="B18" t="s">
        <v>24</v>
      </c>
      <c r="C18" s="1">
        <v>1678</v>
      </c>
      <c r="D18" s="1">
        <v>8390</v>
      </c>
      <c r="E18" s="2">
        <v>456</v>
      </c>
      <c r="F18" s="2">
        <v>152</v>
      </c>
    </row>
    <row r="19" spans="1:13">
      <c r="A19" s="3" t="s">
        <v>25</v>
      </c>
      <c r="B19" t="s">
        <v>24</v>
      </c>
      <c r="C19" s="1">
        <v>1678</v>
      </c>
      <c r="D19" s="1">
        <v>8390</v>
      </c>
      <c r="E19" s="2">
        <v>456</v>
      </c>
      <c r="F19" s="2">
        <v>152</v>
      </c>
    </row>
    <row r="20" spans="1:13" ht="18.75">
      <c r="C20" s="6">
        <f>SUM(C2:C19)</f>
        <v>1357065</v>
      </c>
      <c r="D20" s="6">
        <f t="shared" ref="D20:F20" si="0">SUM(D2:D19)</f>
        <v>9418530</v>
      </c>
      <c r="E20" s="9">
        <f t="shared" si="0"/>
        <v>123814</v>
      </c>
      <c r="F20" s="9">
        <f t="shared" si="0"/>
        <v>516180</v>
      </c>
    </row>
    <row r="21" spans="1:13">
      <c r="C21" s="1"/>
      <c r="D21" s="1">
        <v>36900</v>
      </c>
      <c r="E21" s="2">
        <f>(D21*E20)/D20</f>
        <v>485.07958248261673</v>
      </c>
      <c r="F21" s="2"/>
    </row>
    <row r="22" spans="1:13">
      <c r="C22" s="1"/>
      <c r="D22" s="1">
        <v>398</v>
      </c>
      <c r="E22" s="2">
        <f>D22*2</f>
        <v>796</v>
      </c>
      <c r="F22" s="2"/>
    </row>
    <row r="23" spans="1:13">
      <c r="C23" s="1"/>
      <c r="D23" s="1"/>
      <c r="E23" s="2">
        <f>E21+E22</f>
        <v>1281.0795824826168</v>
      </c>
      <c r="F23" s="2"/>
    </row>
    <row r="24" spans="1:13" ht="21.75">
      <c r="B24" s="10" t="s">
        <v>35</v>
      </c>
      <c r="C24" s="10" t="s">
        <v>36</v>
      </c>
      <c r="D24" s="10" t="s">
        <v>37</v>
      </c>
      <c r="E24" s="10" t="s">
        <v>38</v>
      </c>
      <c r="F24" s="10" t="s">
        <v>39</v>
      </c>
    </row>
    <row r="25" spans="1:13">
      <c r="B25" s="142">
        <v>324</v>
      </c>
      <c r="C25" s="142">
        <v>4</v>
      </c>
      <c r="D25" s="143">
        <v>1.23E-2</v>
      </c>
      <c r="E25" s="142">
        <v>3</v>
      </c>
      <c r="F25" s="143">
        <v>2.1600000000000001E-2</v>
      </c>
    </row>
    <row r="26" spans="1:13">
      <c r="B26" s="142"/>
      <c r="C26" s="142"/>
      <c r="D26" s="143"/>
      <c r="E26" s="142"/>
      <c r="F26" s="143"/>
    </row>
    <row r="27" spans="1:13">
      <c r="B27" s="142">
        <v>855</v>
      </c>
      <c r="C27" s="142">
        <v>3</v>
      </c>
      <c r="D27" s="143">
        <v>3.5000000000000001E-3</v>
      </c>
      <c r="E27" s="142">
        <v>4</v>
      </c>
      <c r="F27" s="143">
        <v>8.2000000000000007E-3</v>
      </c>
    </row>
    <row r="28" spans="1:13">
      <c r="B28" s="142"/>
      <c r="C28" s="142"/>
      <c r="D28" s="143"/>
      <c r="E28" s="142"/>
      <c r="F28" s="143"/>
    </row>
    <row r="29" spans="1:13">
      <c r="B29" s="142">
        <v>180</v>
      </c>
      <c r="C29" s="142" t="s">
        <v>40</v>
      </c>
      <c r="D29" s="142" t="s">
        <v>40</v>
      </c>
      <c r="E29" s="142">
        <v>1</v>
      </c>
      <c r="F29" s="143">
        <v>5.5999999999999999E-3</v>
      </c>
    </row>
    <row r="30" spans="1:13">
      <c r="B30" s="142"/>
      <c r="C30" s="142"/>
      <c r="D30" s="142"/>
      <c r="E30" s="142"/>
      <c r="F30" s="143"/>
      <c r="M30" t="s">
        <v>9</v>
      </c>
    </row>
    <row r="31" spans="1:13">
      <c r="B31" s="142">
        <v>230</v>
      </c>
      <c r="C31" s="142">
        <v>2</v>
      </c>
      <c r="D31" s="143">
        <v>8.6999999999999994E-3</v>
      </c>
      <c r="E31" s="142">
        <v>2</v>
      </c>
      <c r="F31" s="143">
        <v>1.7399999999999999E-2</v>
      </c>
    </row>
    <row r="32" spans="1:13">
      <c r="B32" s="142"/>
      <c r="C32" s="142"/>
      <c r="D32" s="143"/>
      <c r="E32" s="142"/>
      <c r="F32" s="143"/>
    </row>
    <row r="33" spans="2:6" customFormat="1">
      <c r="B33" s="142">
        <v>151</v>
      </c>
      <c r="C33" s="142" t="s">
        <v>40</v>
      </c>
      <c r="D33" s="142" t="s">
        <v>40</v>
      </c>
      <c r="E33" s="142" t="s">
        <v>40</v>
      </c>
      <c r="F33" s="142" t="s">
        <v>40</v>
      </c>
    </row>
    <row r="34" spans="2:6" customFormat="1">
      <c r="B34" s="142"/>
      <c r="C34" s="142"/>
      <c r="D34" s="142"/>
      <c r="E34" s="142"/>
      <c r="F34" s="142"/>
    </row>
    <row r="35" spans="2:6" customFormat="1">
      <c r="B35" s="142">
        <v>378</v>
      </c>
      <c r="C35" s="142">
        <v>1</v>
      </c>
      <c r="D35" s="143">
        <v>2.5999999999999999E-3</v>
      </c>
      <c r="E35" s="142">
        <v>1</v>
      </c>
      <c r="F35" s="143">
        <v>5.3E-3</v>
      </c>
    </row>
    <row r="36" spans="2:6" customFormat="1">
      <c r="B36" s="142"/>
      <c r="C36" s="142"/>
      <c r="D36" s="143"/>
      <c r="E36" s="142"/>
      <c r="F36" s="143"/>
    </row>
    <row r="37" spans="2:6" customFormat="1">
      <c r="B37" s="142">
        <v>275</v>
      </c>
      <c r="C37" s="142" t="s">
        <v>40</v>
      </c>
      <c r="D37" s="142" t="s">
        <v>40</v>
      </c>
      <c r="E37" s="142">
        <v>3</v>
      </c>
      <c r="F37" s="143">
        <v>1.09E-2</v>
      </c>
    </row>
    <row r="38" spans="2:6" customFormat="1">
      <c r="B38" s="142"/>
      <c r="C38" s="142"/>
      <c r="D38" s="142"/>
      <c r="E38" s="142"/>
      <c r="F38" s="143"/>
    </row>
    <row r="39" spans="2:6" customFormat="1">
      <c r="B39" s="142">
        <v>226</v>
      </c>
      <c r="C39" s="142">
        <v>3</v>
      </c>
      <c r="D39" s="143">
        <v>1.3299999999999999E-2</v>
      </c>
      <c r="E39" s="142">
        <v>2</v>
      </c>
      <c r="F39" s="143">
        <v>2.2100000000000002E-2</v>
      </c>
    </row>
    <row r="40" spans="2:6" customFormat="1">
      <c r="B40" s="142"/>
      <c r="C40" s="142"/>
      <c r="D40" s="143"/>
      <c r="E40" s="142"/>
      <c r="F40" s="143"/>
    </row>
    <row r="41" spans="2:6" customFormat="1">
      <c r="B41" s="11">
        <v>2619</v>
      </c>
      <c r="C41" s="11">
        <v>13</v>
      </c>
      <c r="D41" s="12">
        <v>4.0399999999999998E-2</v>
      </c>
      <c r="E41" s="11">
        <v>16</v>
      </c>
      <c r="F41" s="12">
        <v>9.11E-2</v>
      </c>
    </row>
    <row r="42" spans="2:6" customFormat="1">
      <c r="D42">
        <v>2619</v>
      </c>
      <c r="E42" s="2">
        <f>(D42*E20)/C20</f>
        <v>238.94866200218854</v>
      </c>
    </row>
    <row r="43" spans="2:6" customFormat="1">
      <c r="D43">
        <v>10</v>
      </c>
      <c r="E43">
        <f>(D43*E42)/D42</f>
        <v>0.9123660252088146</v>
      </c>
    </row>
    <row r="44" spans="2:6" customFormat="1">
      <c r="D44">
        <v>131</v>
      </c>
      <c r="E44">
        <f>(D44*E43)/D43</f>
        <v>11.951994930235472</v>
      </c>
    </row>
  </sheetData>
  <mergeCells count="40">
    <mergeCell ref="B27:B28"/>
    <mergeCell ref="C27:C28"/>
    <mergeCell ref="D27:D28"/>
    <mergeCell ref="E27:E28"/>
    <mergeCell ref="F27:F28"/>
    <mergeCell ref="B25:B26"/>
    <mergeCell ref="C25:C26"/>
    <mergeCell ref="D25:D26"/>
    <mergeCell ref="E25:E26"/>
    <mergeCell ref="F25:F26"/>
    <mergeCell ref="B31:B32"/>
    <mergeCell ref="C31:C32"/>
    <mergeCell ref="D31:D32"/>
    <mergeCell ref="E31:E32"/>
    <mergeCell ref="F31:F32"/>
    <mergeCell ref="B29:B30"/>
    <mergeCell ref="C29:C30"/>
    <mergeCell ref="D29:D30"/>
    <mergeCell ref="E29:E30"/>
    <mergeCell ref="F29:F30"/>
    <mergeCell ref="B35:B36"/>
    <mergeCell ref="C35:C36"/>
    <mergeCell ref="D35:D36"/>
    <mergeCell ref="E35:E36"/>
    <mergeCell ref="F35:F36"/>
    <mergeCell ref="B33:B34"/>
    <mergeCell ref="C33:C34"/>
    <mergeCell ref="D33:D34"/>
    <mergeCell ref="E33:E34"/>
    <mergeCell ref="F33:F34"/>
    <mergeCell ref="B39:B40"/>
    <mergeCell ref="C39:C40"/>
    <mergeCell ref="D39:D40"/>
    <mergeCell ref="E39:E40"/>
    <mergeCell ref="F39:F40"/>
    <mergeCell ref="B37:B38"/>
    <mergeCell ref="C37:C38"/>
    <mergeCell ref="D37:D38"/>
    <mergeCell ref="E37:E38"/>
    <mergeCell ref="F37:F38"/>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1"/>
  <sheetViews>
    <sheetView workbookViewId="0">
      <selection sqref="A1:XFD1048576"/>
    </sheetView>
  </sheetViews>
  <sheetFormatPr baseColWidth="10" defaultColWidth="18" defaultRowHeight="33" customHeight="1"/>
  <cols>
    <col min="1" max="2" width="18" style="13"/>
    <col min="3" max="3" width="11.5" style="13" customWidth="1"/>
    <col min="4" max="4" width="24.375" style="13" customWidth="1"/>
    <col min="5" max="5" width="10.875" style="13" customWidth="1"/>
    <col min="6" max="6" width="18" style="13"/>
    <col min="7" max="7" width="13.125" style="13" customWidth="1"/>
    <col min="8" max="8" width="18" style="13"/>
    <col min="9" max="9" width="13.875" style="13" customWidth="1"/>
    <col min="10" max="16384" width="18" style="13"/>
  </cols>
  <sheetData>
    <row r="1" spans="1:9" ht="33" customHeight="1">
      <c r="A1" s="128" t="s">
        <v>45</v>
      </c>
      <c r="B1" s="129"/>
      <c r="C1" s="129"/>
      <c r="D1" s="129"/>
      <c r="E1" s="129"/>
      <c r="F1" s="129"/>
      <c r="G1" s="129"/>
      <c r="H1" s="129"/>
      <c r="I1" s="144"/>
    </row>
    <row r="2" spans="1:9" ht="33" customHeight="1">
      <c r="A2" s="14" t="s">
        <v>41</v>
      </c>
      <c r="B2" s="15" t="s">
        <v>47</v>
      </c>
      <c r="C2" s="15" t="s">
        <v>43</v>
      </c>
      <c r="D2" s="15" t="s">
        <v>57</v>
      </c>
      <c r="E2" s="15" t="s">
        <v>43</v>
      </c>
      <c r="F2" s="15" t="s">
        <v>49</v>
      </c>
      <c r="G2" s="15" t="s">
        <v>43</v>
      </c>
      <c r="H2" s="15" t="s">
        <v>48</v>
      </c>
      <c r="I2" s="16" t="s">
        <v>43</v>
      </c>
    </row>
    <row r="3" spans="1:9" ht="33" customHeight="1">
      <c r="A3" s="17" t="s">
        <v>46</v>
      </c>
      <c r="B3" s="18">
        <v>1123</v>
      </c>
      <c r="C3" s="19">
        <v>-0.49819999999999998</v>
      </c>
      <c r="D3" s="18">
        <v>804</v>
      </c>
      <c r="E3" s="19">
        <v>-0.44779999999999998</v>
      </c>
      <c r="F3" s="18">
        <v>3437</v>
      </c>
      <c r="G3" s="19">
        <v>-0.43780000000000002</v>
      </c>
      <c r="H3" s="20">
        <v>0.49869999999999998</v>
      </c>
      <c r="I3" s="21">
        <v>-4.7E-2</v>
      </c>
    </row>
    <row r="4" spans="1:9" ht="33" customHeight="1">
      <c r="A4" s="14" t="s">
        <v>41</v>
      </c>
      <c r="B4" s="15" t="s">
        <v>51</v>
      </c>
      <c r="C4" s="15" t="s">
        <v>43</v>
      </c>
      <c r="D4" s="15" t="s">
        <v>58</v>
      </c>
      <c r="E4" s="15" t="s">
        <v>43</v>
      </c>
      <c r="F4" s="15" t="s">
        <v>49</v>
      </c>
      <c r="G4" s="15" t="s">
        <v>43</v>
      </c>
      <c r="H4" s="15" t="s">
        <v>44</v>
      </c>
      <c r="I4" s="16" t="s">
        <v>43</v>
      </c>
    </row>
    <row r="5" spans="1:9" ht="33" customHeight="1">
      <c r="A5" s="17" t="s">
        <v>50</v>
      </c>
      <c r="B5" s="18">
        <v>24</v>
      </c>
      <c r="C5" s="19">
        <f>-(5/29)</f>
        <v>-0.17241379310344829</v>
      </c>
      <c r="D5" s="22">
        <v>1357065</v>
      </c>
      <c r="E5" s="23">
        <f>(D5-265017)/265017</f>
        <v>4.12067150409219</v>
      </c>
      <c r="F5" s="22">
        <v>9418530</v>
      </c>
      <c r="G5" s="23">
        <f>(F5-917707)/917707</f>
        <v>9.2631123005490856</v>
      </c>
      <c r="H5" s="24">
        <v>516180</v>
      </c>
      <c r="I5" s="21">
        <f>(H5-41066)/41066</f>
        <v>11.569522232503774</v>
      </c>
    </row>
    <row r="6" spans="1:9" ht="33" customHeight="1">
      <c r="A6" s="14" t="s">
        <v>41</v>
      </c>
      <c r="B6" s="15" t="s">
        <v>42</v>
      </c>
      <c r="C6" s="15" t="s">
        <v>43</v>
      </c>
      <c r="D6" s="15" t="s">
        <v>59</v>
      </c>
      <c r="E6" s="15" t="s">
        <v>43</v>
      </c>
      <c r="F6" s="15" t="s">
        <v>52</v>
      </c>
      <c r="G6" s="15" t="s">
        <v>43</v>
      </c>
      <c r="H6" s="15" t="s">
        <v>44</v>
      </c>
      <c r="I6" s="16" t="s">
        <v>43</v>
      </c>
    </row>
    <row r="7" spans="1:9" ht="33" customHeight="1">
      <c r="A7" s="17" t="s">
        <v>53</v>
      </c>
      <c r="B7" s="18">
        <v>63</v>
      </c>
      <c r="C7" s="25">
        <f>(B7-137)/137</f>
        <v>-0.54014598540145986</v>
      </c>
      <c r="D7" s="22">
        <v>36900</v>
      </c>
      <c r="E7" s="25">
        <f>(D7-52000)/52000</f>
        <v>-0.29038461538461541</v>
      </c>
      <c r="F7" s="18">
        <v>398</v>
      </c>
      <c r="G7" s="25">
        <f>(F7-516)/516</f>
        <v>-0.22868217054263565</v>
      </c>
      <c r="H7" s="26">
        <v>1281.08</v>
      </c>
      <c r="I7" s="27">
        <f>(H7-4347)/4347</f>
        <v>-0.7052956061651714</v>
      </c>
    </row>
    <row r="8" spans="1:9" ht="33" customHeight="1">
      <c r="A8" s="17" t="s">
        <v>54</v>
      </c>
      <c r="B8" s="18">
        <v>8</v>
      </c>
      <c r="C8" s="23">
        <f>(B8-6)/6</f>
        <v>0.33333333333333331</v>
      </c>
      <c r="D8" s="22">
        <v>2619</v>
      </c>
      <c r="E8" s="23">
        <f>(D8-1791)/1791</f>
        <v>0.46231155778894473</v>
      </c>
      <c r="F8" s="18">
        <v>16</v>
      </c>
      <c r="G8" s="23">
        <f>(F8-13)/13</f>
        <v>0.23076923076923078</v>
      </c>
      <c r="H8" s="26">
        <v>238.95</v>
      </c>
      <c r="I8" s="21">
        <f>(H8-118)/118</f>
        <v>1.0249999999999999</v>
      </c>
    </row>
    <row r="9" spans="1:9" ht="33" customHeight="1">
      <c r="A9" s="17" t="s">
        <v>55</v>
      </c>
      <c r="B9" s="18">
        <v>2</v>
      </c>
      <c r="C9" s="25">
        <f>(B9-3)/3</f>
        <v>-0.33333333333333331</v>
      </c>
      <c r="D9" s="18">
        <v>131</v>
      </c>
      <c r="E9" s="25">
        <v>-0.64780000000000004</v>
      </c>
      <c r="F9" s="18">
        <v>7</v>
      </c>
      <c r="G9" s="25">
        <v>-0.76670000000000005</v>
      </c>
      <c r="H9" s="33">
        <v>11.95</v>
      </c>
      <c r="I9" s="27">
        <f>(H9-19.69)/19.69</f>
        <v>-0.39309294057897415</v>
      </c>
    </row>
    <row r="10" spans="1:9" ht="33" customHeight="1">
      <c r="A10" s="28" t="s">
        <v>56</v>
      </c>
      <c r="B10" s="29">
        <v>4</v>
      </c>
      <c r="C10" s="30">
        <f>(B10-2)/2</f>
        <v>1</v>
      </c>
      <c r="D10" s="29">
        <v>10</v>
      </c>
      <c r="E10" s="31">
        <f>(D10-22)/22</f>
        <v>-0.54545454545454541</v>
      </c>
      <c r="F10" s="29">
        <v>0</v>
      </c>
      <c r="G10" s="32">
        <v>0</v>
      </c>
      <c r="H10" s="33">
        <v>0.91</v>
      </c>
      <c r="I10" s="34">
        <f>(H10-7.74)/7.74</f>
        <v>-0.88242894056847543</v>
      </c>
    </row>
    <row r="11" spans="1:9" ht="33" customHeight="1">
      <c r="A11" s="35" t="s">
        <v>60</v>
      </c>
      <c r="B11" s="35">
        <f>SUM(B7:B10)</f>
        <v>77</v>
      </c>
      <c r="C11" s="29"/>
      <c r="D11" s="36">
        <f>SUM(D3+D5+D7+D8+D9+D10)</f>
        <v>1397529</v>
      </c>
      <c r="E11" s="29"/>
      <c r="F11" s="36">
        <f>SUM(F7:F10)</f>
        <v>421</v>
      </c>
      <c r="G11" s="29"/>
      <c r="H11" s="36">
        <f>SUM(H3+H5+H7+H8+H9+H10)</f>
        <v>517713.38870000001</v>
      </c>
      <c r="I11" s="37"/>
    </row>
  </sheetData>
  <mergeCells count="1">
    <mergeCell ref="A1:I1"/>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42"/>
  <sheetViews>
    <sheetView topLeftCell="C10" workbookViewId="0">
      <selection activeCell="B7" sqref="B7"/>
    </sheetView>
  </sheetViews>
  <sheetFormatPr baseColWidth="10" defaultRowHeight="15.75"/>
  <cols>
    <col min="2" max="2" width="42.625" bestFit="1" customWidth="1"/>
    <col min="3" max="3" width="119.625" bestFit="1" customWidth="1"/>
    <col min="4" max="4" width="26.125" bestFit="1" customWidth="1"/>
    <col min="5" max="5" width="24.5" bestFit="1" customWidth="1"/>
    <col min="6" max="6" width="22.125" bestFit="1" customWidth="1"/>
    <col min="7" max="7" width="18.625" bestFit="1" customWidth="1"/>
  </cols>
  <sheetData>
    <row r="1" spans="1:7">
      <c r="A1" s="41" t="s">
        <v>134</v>
      </c>
      <c r="B1" s="41" t="s">
        <v>0</v>
      </c>
      <c r="C1" s="41" t="s">
        <v>135</v>
      </c>
      <c r="D1" s="41" t="s">
        <v>136</v>
      </c>
      <c r="E1" s="41" t="s">
        <v>137</v>
      </c>
      <c r="F1" s="41" t="s">
        <v>3</v>
      </c>
      <c r="G1" s="41" t="s">
        <v>4</v>
      </c>
    </row>
    <row r="2" spans="1:7">
      <c r="A2" s="42">
        <v>43049</v>
      </c>
      <c r="B2" s="41" t="s">
        <v>24</v>
      </c>
      <c r="C2" s="41" t="s">
        <v>138</v>
      </c>
      <c r="D2" s="41">
        <v>1678</v>
      </c>
      <c r="E2" s="41">
        <v>8390</v>
      </c>
      <c r="F2" s="41">
        <v>456</v>
      </c>
      <c r="G2" s="41">
        <v>152</v>
      </c>
    </row>
    <row r="3" spans="1:7">
      <c r="A3" s="42">
        <v>43050</v>
      </c>
      <c r="B3" s="41" t="s">
        <v>139</v>
      </c>
      <c r="C3" s="41" t="s">
        <v>140</v>
      </c>
      <c r="D3" s="41">
        <v>1397</v>
      </c>
      <c r="E3" s="41">
        <v>6985</v>
      </c>
      <c r="F3" s="41">
        <v>456</v>
      </c>
      <c r="G3" s="41">
        <v>152</v>
      </c>
    </row>
    <row r="4" spans="1:7">
      <c r="A4" s="42">
        <v>43062</v>
      </c>
      <c r="B4" s="41" t="s">
        <v>141</v>
      </c>
      <c r="C4" s="41" t="s">
        <v>142</v>
      </c>
      <c r="D4" s="41">
        <v>45785</v>
      </c>
      <c r="E4" s="41">
        <v>228929</v>
      </c>
      <c r="F4" s="41">
        <v>603</v>
      </c>
      <c r="G4" s="41">
        <v>201</v>
      </c>
    </row>
    <row r="5" spans="1:7">
      <c r="A5" s="42">
        <v>43062</v>
      </c>
      <c r="B5" s="41" t="s">
        <v>143</v>
      </c>
      <c r="C5" s="41" t="s">
        <v>144</v>
      </c>
      <c r="D5" s="41">
        <v>6740</v>
      </c>
      <c r="E5" s="41">
        <v>33702</v>
      </c>
      <c r="F5" s="41">
        <v>474</v>
      </c>
      <c r="G5" s="41">
        <v>158</v>
      </c>
    </row>
    <row r="6" spans="1:7">
      <c r="A6" s="42">
        <v>43063</v>
      </c>
      <c r="B6" s="41" t="s">
        <v>145</v>
      </c>
      <c r="C6" s="41" t="s">
        <v>146</v>
      </c>
      <c r="D6" s="41">
        <v>4834</v>
      </c>
      <c r="E6" s="41">
        <v>24171</v>
      </c>
      <c r="F6" s="41">
        <v>468</v>
      </c>
      <c r="G6" s="41">
        <v>156</v>
      </c>
    </row>
    <row r="7" spans="1:7">
      <c r="A7" s="42">
        <v>43062</v>
      </c>
      <c r="B7" s="41" t="s">
        <v>147</v>
      </c>
      <c r="C7" s="41" t="s">
        <v>148</v>
      </c>
      <c r="D7" s="41">
        <v>28999</v>
      </c>
      <c r="E7" s="47">
        <v>163000</v>
      </c>
      <c r="F7" s="41">
        <v>7104</v>
      </c>
      <c r="G7" s="41">
        <v>7104</v>
      </c>
    </row>
    <row r="8" spans="1:7">
      <c r="A8" s="42">
        <v>43062</v>
      </c>
      <c r="B8" s="41" t="s">
        <v>31</v>
      </c>
      <c r="C8" s="41" t="s">
        <v>149</v>
      </c>
      <c r="D8" s="41">
        <v>30000</v>
      </c>
      <c r="E8" s="41">
        <v>78000</v>
      </c>
      <c r="F8" s="41">
        <v>3764</v>
      </c>
      <c r="G8" s="41">
        <v>3764</v>
      </c>
    </row>
    <row r="9" spans="1:7">
      <c r="A9" s="42">
        <v>43064</v>
      </c>
      <c r="B9" s="41" t="s">
        <v>119</v>
      </c>
      <c r="C9" s="41" t="s">
        <v>120</v>
      </c>
      <c r="D9" s="41">
        <v>7369</v>
      </c>
      <c r="E9" s="41">
        <v>22107</v>
      </c>
      <c r="F9" s="41">
        <v>5410</v>
      </c>
      <c r="G9" s="41">
        <v>5410</v>
      </c>
    </row>
    <row r="10" spans="1:7">
      <c r="A10" s="42">
        <v>43064</v>
      </c>
      <c r="B10" s="41" t="s">
        <v>150</v>
      </c>
      <c r="C10" s="41" t="s">
        <v>151</v>
      </c>
      <c r="D10" s="41">
        <v>27576</v>
      </c>
      <c r="E10" s="41">
        <v>82728</v>
      </c>
      <c r="F10" s="41">
        <v>8212</v>
      </c>
      <c r="G10" s="41">
        <v>8212</v>
      </c>
    </row>
    <row r="11" spans="1:7">
      <c r="A11" s="42">
        <v>43048</v>
      </c>
      <c r="B11" s="41" t="s">
        <v>152</v>
      </c>
      <c r="C11" s="41" t="s">
        <v>153</v>
      </c>
      <c r="D11" s="41">
        <v>18000</v>
      </c>
      <c r="E11" s="41">
        <v>65000</v>
      </c>
      <c r="F11" s="41">
        <v>4429</v>
      </c>
      <c r="G11" s="41">
        <v>4429</v>
      </c>
    </row>
    <row r="12" spans="1:7">
      <c r="A12" s="42">
        <v>43041</v>
      </c>
      <c r="B12" s="41" t="s">
        <v>154</v>
      </c>
      <c r="C12" s="41" t="s">
        <v>155</v>
      </c>
      <c r="D12" s="41">
        <v>33000</v>
      </c>
      <c r="E12" s="41">
        <v>115500</v>
      </c>
      <c r="F12" s="41">
        <v>8997</v>
      </c>
      <c r="G12" s="41">
        <v>8897</v>
      </c>
    </row>
    <row r="13" spans="1:7">
      <c r="A13" s="42">
        <v>43069</v>
      </c>
      <c r="B13" s="41" t="s">
        <v>156</v>
      </c>
      <c r="C13" s="41" t="s">
        <v>157</v>
      </c>
      <c r="D13" s="41">
        <v>1833</v>
      </c>
      <c r="E13" s="41">
        <v>9165</v>
      </c>
      <c r="F13" s="41">
        <v>456</v>
      </c>
      <c r="G13" s="41">
        <v>152</v>
      </c>
    </row>
    <row r="14" spans="1:7">
      <c r="A14" s="42">
        <v>43068</v>
      </c>
      <c r="B14" s="41" t="s">
        <v>156</v>
      </c>
      <c r="C14" s="41" t="s">
        <v>157</v>
      </c>
      <c r="D14" s="41">
        <v>1833</v>
      </c>
      <c r="E14" s="41">
        <v>9165</v>
      </c>
      <c r="F14" s="41">
        <v>456</v>
      </c>
      <c r="G14" s="41">
        <v>152</v>
      </c>
    </row>
    <row r="15" spans="1:7">
      <c r="A15" s="42">
        <v>43059</v>
      </c>
      <c r="B15" s="41" t="s">
        <v>158</v>
      </c>
      <c r="C15" s="41" t="s">
        <v>159</v>
      </c>
      <c r="D15" s="41">
        <v>566</v>
      </c>
      <c r="E15" s="41">
        <v>2830</v>
      </c>
      <c r="F15" s="41">
        <v>453</v>
      </c>
      <c r="G15" s="41">
        <v>151</v>
      </c>
    </row>
    <row r="16" spans="1:7">
      <c r="A16" s="42">
        <v>43057</v>
      </c>
      <c r="B16" s="41" t="s">
        <v>156</v>
      </c>
      <c r="C16" s="41" t="s">
        <v>160</v>
      </c>
      <c r="D16" s="41">
        <v>1833</v>
      </c>
      <c r="E16" s="41">
        <v>9165</v>
      </c>
      <c r="F16" s="41">
        <v>456</v>
      </c>
      <c r="G16" s="41">
        <v>152</v>
      </c>
    </row>
    <row r="17" spans="1:7">
      <c r="A17" s="42">
        <v>43056</v>
      </c>
      <c r="B17" s="41" t="s">
        <v>156</v>
      </c>
      <c r="C17" s="41" t="s">
        <v>161</v>
      </c>
      <c r="D17" s="41">
        <v>1833</v>
      </c>
      <c r="E17" s="41">
        <v>9165</v>
      </c>
      <c r="F17" s="41">
        <v>456</v>
      </c>
      <c r="G17" s="41">
        <v>152</v>
      </c>
    </row>
    <row r="18" spans="1:7">
      <c r="A18" s="42">
        <v>43054</v>
      </c>
      <c r="B18" s="41" t="s">
        <v>162</v>
      </c>
      <c r="C18" s="41" t="s">
        <v>163</v>
      </c>
      <c r="D18" s="41">
        <v>45000</v>
      </c>
      <c r="E18" s="41">
        <v>16000</v>
      </c>
      <c r="F18" s="41">
        <v>456</v>
      </c>
      <c r="G18" s="41">
        <v>152</v>
      </c>
    </row>
    <row r="19" spans="1:7">
      <c r="A19" s="42">
        <v>43054</v>
      </c>
      <c r="B19" s="41" t="s">
        <v>164</v>
      </c>
      <c r="C19" s="41" t="s">
        <v>165</v>
      </c>
      <c r="D19" s="41">
        <v>1833</v>
      </c>
      <c r="E19" s="41">
        <v>9165</v>
      </c>
      <c r="F19" s="41">
        <v>456</v>
      </c>
      <c r="G19" s="41">
        <v>152</v>
      </c>
    </row>
    <row r="20" spans="1:7">
      <c r="A20" s="42">
        <v>43053</v>
      </c>
      <c r="B20" s="41" t="s">
        <v>166</v>
      </c>
      <c r="C20" s="41" t="s">
        <v>167</v>
      </c>
      <c r="D20" s="41"/>
      <c r="E20" s="41"/>
      <c r="F20" s="41">
        <v>456</v>
      </c>
      <c r="G20" s="41">
        <v>152</v>
      </c>
    </row>
    <row r="21" spans="1:7">
      <c r="A21" s="42">
        <v>43053</v>
      </c>
      <c r="B21" s="41" t="s">
        <v>168</v>
      </c>
      <c r="C21" s="41" t="s">
        <v>169</v>
      </c>
      <c r="D21" s="41"/>
      <c r="E21" s="41"/>
      <c r="F21" s="41">
        <v>456</v>
      </c>
      <c r="G21" s="41">
        <v>152</v>
      </c>
    </row>
    <row r="22" spans="1:7">
      <c r="A22" s="42">
        <v>43052</v>
      </c>
      <c r="B22" s="41" t="s">
        <v>170</v>
      </c>
      <c r="C22" s="41" t="s">
        <v>171</v>
      </c>
      <c r="D22" s="41"/>
      <c r="E22" s="41"/>
      <c r="F22" s="41">
        <v>456</v>
      </c>
      <c r="G22" s="41">
        <v>152</v>
      </c>
    </row>
    <row r="23" spans="1:7">
      <c r="A23" s="42">
        <v>43052</v>
      </c>
      <c r="B23" s="41" t="s">
        <v>172</v>
      </c>
      <c r="C23" s="41" t="s">
        <v>173</v>
      </c>
      <c r="D23" s="41"/>
      <c r="E23" s="41"/>
      <c r="F23" s="41">
        <v>456</v>
      </c>
      <c r="G23" s="41">
        <v>152</v>
      </c>
    </row>
    <row r="24" spans="1:7">
      <c r="A24" s="42">
        <v>43052</v>
      </c>
      <c r="B24" s="41" t="s">
        <v>174</v>
      </c>
      <c r="C24" s="41" t="s">
        <v>171</v>
      </c>
      <c r="D24" s="41"/>
      <c r="E24" s="41"/>
      <c r="F24" s="41">
        <v>456</v>
      </c>
      <c r="G24" s="41">
        <v>152</v>
      </c>
    </row>
    <row r="25" spans="1:7">
      <c r="A25" s="42">
        <v>43052</v>
      </c>
      <c r="B25" s="41" t="s">
        <v>175</v>
      </c>
      <c r="C25" s="41" t="s">
        <v>176</v>
      </c>
      <c r="D25" s="41"/>
      <c r="E25" s="41"/>
      <c r="F25" s="41">
        <v>456</v>
      </c>
      <c r="G25" s="41">
        <v>152</v>
      </c>
    </row>
    <row r="26" spans="1:7">
      <c r="A26" s="42">
        <v>43051</v>
      </c>
      <c r="B26" s="41" t="s">
        <v>164</v>
      </c>
      <c r="C26" s="41" t="s">
        <v>177</v>
      </c>
      <c r="D26" s="41">
        <v>1833</v>
      </c>
      <c r="E26" s="41">
        <v>9165</v>
      </c>
      <c r="F26" s="41">
        <v>456</v>
      </c>
      <c r="G26" s="41">
        <v>152</v>
      </c>
    </row>
    <row r="27" spans="1:7">
      <c r="A27" s="42">
        <v>43050</v>
      </c>
      <c r="B27" s="41" t="s">
        <v>139</v>
      </c>
      <c r="C27" s="41" t="s">
        <v>140</v>
      </c>
      <c r="D27" s="41">
        <v>1397</v>
      </c>
      <c r="E27" s="41">
        <v>6985</v>
      </c>
      <c r="F27" s="41">
        <v>456</v>
      </c>
      <c r="G27" s="41">
        <v>152</v>
      </c>
    </row>
    <row r="28" spans="1:7">
      <c r="A28" s="42">
        <v>43041</v>
      </c>
      <c r="B28" s="41" t="s">
        <v>24</v>
      </c>
      <c r="C28" s="41" t="s">
        <v>178</v>
      </c>
      <c r="D28" s="41">
        <v>1678</v>
      </c>
      <c r="E28" s="41">
        <v>8390</v>
      </c>
      <c r="F28" s="41">
        <v>456</v>
      </c>
      <c r="G28" s="41">
        <v>152</v>
      </c>
    </row>
    <row r="29" spans="1:7">
      <c r="A29" s="41"/>
      <c r="B29" s="41"/>
      <c r="C29" s="41"/>
      <c r="D29" s="41"/>
      <c r="E29" s="41"/>
      <c r="F29" s="41"/>
      <c r="G29" s="41"/>
    </row>
    <row r="30" spans="1:7">
      <c r="A30" s="41"/>
      <c r="B30" s="41"/>
      <c r="C30" s="41"/>
      <c r="D30" s="41"/>
      <c r="E30" s="41"/>
      <c r="F30" s="41"/>
      <c r="G30" s="41"/>
    </row>
    <row r="31" spans="1:7">
      <c r="A31" s="41"/>
      <c r="B31" s="41"/>
      <c r="C31" s="41"/>
      <c r="D31" s="41"/>
      <c r="E31" s="41"/>
      <c r="F31" s="41"/>
      <c r="G31" s="41"/>
    </row>
    <row r="32" spans="1:7">
      <c r="A32" s="41"/>
      <c r="B32" s="41" t="s">
        <v>179</v>
      </c>
      <c r="C32" s="41"/>
      <c r="D32" s="43">
        <v>102626</v>
      </c>
      <c r="E32" s="43">
        <v>426399</v>
      </c>
      <c r="F32" s="44">
        <v>12996</v>
      </c>
      <c r="G32" s="44">
        <v>10448</v>
      </c>
    </row>
    <row r="33" spans="1:7">
      <c r="A33" s="41"/>
      <c r="B33" s="41" t="s">
        <v>180</v>
      </c>
      <c r="C33" s="41"/>
      <c r="D33" s="43">
        <v>162391</v>
      </c>
      <c r="E33" s="43">
        <v>491308</v>
      </c>
      <c r="F33" s="44">
        <v>34670</v>
      </c>
      <c r="G33" s="44">
        <v>30618</v>
      </c>
    </row>
    <row r="34" spans="1:7">
      <c r="A34" s="41"/>
      <c r="B34" s="48" t="s">
        <v>181</v>
      </c>
      <c r="C34" s="48"/>
      <c r="D34" s="49">
        <v>265017</v>
      </c>
      <c r="E34" s="49">
        <v>917707</v>
      </c>
      <c r="F34" s="50">
        <v>47666</v>
      </c>
      <c r="G34" s="50">
        <v>41066</v>
      </c>
    </row>
    <row r="35" spans="1:7">
      <c r="A35" s="41"/>
      <c r="B35" s="41"/>
      <c r="C35" s="41" t="s">
        <v>182</v>
      </c>
      <c r="D35" s="41"/>
      <c r="E35" s="51">
        <v>4605350</v>
      </c>
      <c r="F35" s="52">
        <v>46834</v>
      </c>
      <c r="G35" s="41"/>
    </row>
    <row r="36" spans="1:7">
      <c r="A36" s="41"/>
      <c r="B36" s="41"/>
      <c r="C36" s="41"/>
      <c r="D36" s="41"/>
      <c r="E36" s="41">
        <v>52000</v>
      </c>
      <c r="F36" s="41">
        <v>528.81279380000001</v>
      </c>
      <c r="G36" s="41"/>
    </row>
    <row r="37" spans="1:7">
      <c r="A37" s="41"/>
      <c r="B37" s="41"/>
      <c r="C37" s="41"/>
      <c r="D37" s="41"/>
      <c r="E37" s="41">
        <v>1909</v>
      </c>
      <c r="F37" s="41">
        <v>3818</v>
      </c>
      <c r="G37" s="41"/>
    </row>
    <row r="38" spans="1:7">
      <c r="A38" s="41"/>
      <c r="B38" s="41"/>
      <c r="C38" s="41"/>
      <c r="D38" s="41"/>
      <c r="E38" s="41"/>
      <c r="F38" s="41">
        <v>4346.8127940000004</v>
      </c>
      <c r="G38" s="41"/>
    </row>
    <row r="39" spans="1:7">
      <c r="A39" s="41"/>
      <c r="B39" s="41"/>
      <c r="C39" s="41"/>
      <c r="D39" s="41"/>
      <c r="E39" s="41"/>
      <c r="F39" s="41"/>
      <c r="G39" s="41"/>
    </row>
    <row r="40" spans="1:7">
      <c r="A40" s="41"/>
      <c r="B40" s="41"/>
      <c r="C40" s="41"/>
      <c r="D40" s="41"/>
      <c r="E40" s="41">
        <v>1765</v>
      </c>
      <c r="F40" s="41">
        <v>91.674673940000005</v>
      </c>
      <c r="G40" s="41"/>
    </row>
    <row r="41" spans="1:7">
      <c r="A41" s="41"/>
      <c r="B41" s="41"/>
      <c r="C41" s="41"/>
      <c r="D41" s="41"/>
      <c r="E41" s="41">
        <v>13</v>
      </c>
      <c r="F41" s="41">
        <v>26</v>
      </c>
      <c r="G41" s="41"/>
    </row>
    <row r="42" spans="1:7">
      <c r="A42" s="41"/>
      <c r="B42" s="41"/>
      <c r="C42" s="41"/>
      <c r="D42" s="41"/>
      <c r="E42" s="41"/>
      <c r="F42" s="41">
        <v>117.6746739</v>
      </c>
      <c r="G42" s="41"/>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6"/>
  <sheetViews>
    <sheetView topLeftCell="C10" workbookViewId="0">
      <selection activeCell="D33" sqref="D33:G33"/>
    </sheetView>
  </sheetViews>
  <sheetFormatPr baseColWidth="10" defaultRowHeight="15.75"/>
  <cols>
    <col min="1" max="1" width="13.625" customWidth="1"/>
    <col min="2" max="2" width="38.125" bestFit="1" customWidth="1"/>
    <col min="3" max="3" width="106.125" bestFit="1" customWidth="1"/>
    <col min="4" max="4" width="16.5" bestFit="1" customWidth="1"/>
    <col min="5" max="5" width="14.625" bestFit="1" customWidth="1"/>
    <col min="6" max="6" width="22.125" bestFit="1" customWidth="1"/>
    <col min="7" max="7" width="18.625" bestFit="1" customWidth="1"/>
  </cols>
  <sheetData>
    <row r="1" spans="1:7">
      <c r="A1" s="41" t="s">
        <v>134</v>
      </c>
      <c r="B1" s="41" t="s">
        <v>0</v>
      </c>
      <c r="C1" s="41" t="s">
        <v>135</v>
      </c>
      <c r="D1" s="41" t="s">
        <v>1</v>
      </c>
      <c r="E1" s="41" t="s">
        <v>2</v>
      </c>
      <c r="F1" s="41" t="s">
        <v>3</v>
      </c>
      <c r="G1" s="41" t="s">
        <v>4</v>
      </c>
    </row>
    <row r="2" spans="1:7">
      <c r="A2" s="42">
        <v>42994</v>
      </c>
      <c r="B2" s="41" t="s">
        <v>183</v>
      </c>
      <c r="C2" s="41" t="s">
        <v>184</v>
      </c>
      <c r="D2" s="43">
        <v>183704</v>
      </c>
      <c r="E2" s="43">
        <v>918524</v>
      </c>
      <c r="F2" s="44">
        <v>1023</v>
      </c>
      <c r="G2" s="44">
        <v>341</v>
      </c>
    </row>
    <row r="3" spans="1:7">
      <c r="A3" s="42">
        <v>42995</v>
      </c>
      <c r="B3" s="41" t="s">
        <v>185</v>
      </c>
      <c r="C3" s="41" t="s">
        <v>186</v>
      </c>
      <c r="D3" s="43">
        <v>3297</v>
      </c>
      <c r="E3" s="43">
        <v>16486</v>
      </c>
      <c r="F3" s="44">
        <v>462</v>
      </c>
      <c r="G3" s="44">
        <v>154</v>
      </c>
    </row>
    <row r="4" spans="1:7">
      <c r="A4" s="42">
        <v>42996</v>
      </c>
      <c r="B4" s="41" t="s">
        <v>187</v>
      </c>
      <c r="C4" s="41" t="s">
        <v>184</v>
      </c>
      <c r="D4" s="43">
        <v>2037</v>
      </c>
      <c r="E4" s="43">
        <v>10188</v>
      </c>
      <c r="F4" s="44">
        <v>456</v>
      </c>
      <c r="G4" s="44">
        <v>152</v>
      </c>
    </row>
    <row r="5" spans="1:7">
      <c r="A5" s="42">
        <v>42997</v>
      </c>
      <c r="B5" s="41" t="s">
        <v>188</v>
      </c>
      <c r="C5" s="41" t="s">
        <v>189</v>
      </c>
      <c r="D5" s="43"/>
      <c r="E5" s="43"/>
      <c r="F5" s="44">
        <v>450</v>
      </c>
      <c r="G5" s="44">
        <v>150</v>
      </c>
    </row>
    <row r="6" spans="1:7">
      <c r="A6" s="42">
        <v>42999</v>
      </c>
      <c r="B6" s="41" t="s">
        <v>34</v>
      </c>
      <c r="C6" s="41" t="s">
        <v>190</v>
      </c>
      <c r="D6" s="43">
        <v>1279</v>
      </c>
      <c r="E6" s="43">
        <v>6396</v>
      </c>
      <c r="F6" s="44">
        <v>456</v>
      </c>
      <c r="G6" s="44">
        <v>152</v>
      </c>
    </row>
    <row r="7" spans="1:7">
      <c r="A7" s="42">
        <v>43003</v>
      </c>
      <c r="B7" s="41" t="s">
        <v>191</v>
      </c>
      <c r="C7" s="41" t="s">
        <v>192</v>
      </c>
      <c r="D7" s="43">
        <v>556</v>
      </c>
      <c r="E7" s="43">
        <v>2830</v>
      </c>
      <c r="F7" s="44">
        <v>453</v>
      </c>
      <c r="G7" s="44">
        <v>151</v>
      </c>
    </row>
    <row r="8" spans="1:7">
      <c r="A8" s="42">
        <v>43009</v>
      </c>
      <c r="B8" s="41" t="s">
        <v>113</v>
      </c>
      <c r="C8" s="41" t="s">
        <v>193</v>
      </c>
      <c r="D8" s="41">
        <v>1833</v>
      </c>
      <c r="E8" s="41">
        <v>9165</v>
      </c>
      <c r="F8" s="44">
        <v>456</v>
      </c>
      <c r="G8" s="44">
        <v>152</v>
      </c>
    </row>
    <row r="9" spans="1:7">
      <c r="A9" s="42">
        <v>43010</v>
      </c>
      <c r="B9" s="41" t="s">
        <v>34</v>
      </c>
      <c r="C9" s="41" t="s">
        <v>194</v>
      </c>
      <c r="D9" s="43">
        <v>1279</v>
      </c>
      <c r="E9" s="43">
        <v>6396</v>
      </c>
      <c r="F9" s="44">
        <v>456</v>
      </c>
      <c r="G9" s="44">
        <v>152</v>
      </c>
    </row>
    <row r="10" spans="1:7">
      <c r="A10" s="42">
        <v>43012</v>
      </c>
      <c r="B10" s="41" t="s">
        <v>195</v>
      </c>
      <c r="C10" s="41" t="s">
        <v>196</v>
      </c>
      <c r="D10" s="43">
        <v>80</v>
      </c>
      <c r="E10" s="43">
        <v>403</v>
      </c>
      <c r="F10" s="44">
        <v>450</v>
      </c>
      <c r="G10" s="44">
        <v>150</v>
      </c>
    </row>
    <row r="11" spans="1:7">
      <c r="A11" s="42">
        <v>43012</v>
      </c>
      <c r="B11" s="41" t="s">
        <v>197</v>
      </c>
      <c r="C11" s="41" t="s">
        <v>198</v>
      </c>
      <c r="D11" s="43">
        <v>709</v>
      </c>
      <c r="E11" s="43">
        <v>3549</v>
      </c>
      <c r="F11" s="44">
        <v>453</v>
      </c>
      <c r="G11" s="44">
        <v>151</v>
      </c>
    </row>
    <row r="12" spans="1:7">
      <c r="A12" s="42">
        <v>43012</v>
      </c>
      <c r="B12" s="41" t="s">
        <v>199</v>
      </c>
      <c r="C12" s="41" t="s">
        <v>198</v>
      </c>
      <c r="D12" s="43">
        <v>446</v>
      </c>
      <c r="E12" s="43">
        <v>2230</v>
      </c>
      <c r="F12" s="44">
        <v>453</v>
      </c>
      <c r="G12" s="44">
        <v>151</v>
      </c>
    </row>
    <row r="13" spans="1:7">
      <c r="A13" s="42">
        <v>43012</v>
      </c>
      <c r="B13" s="41" t="s">
        <v>200</v>
      </c>
      <c r="C13" s="41" t="s">
        <v>198</v>
      </c>
      <c r="D13" s="43">
        <v>169</v>
      </c>
      <c r="E13" s="43">
        <v>847</v>
      </c>
      <c r="F13" s="44">
        <v>450</v>
      </c>
      <c r="G13" s="44">
        <v>150</v>
      </c>
    </row>
    <row r="14" spans="1:7">
      <c r="A14" s="42">
        <v>43012</v>
      </c>
      <c r="B14" s="41" t="s">
        <v>201</v>
      </c>
      <c r="C14" s="41" t="s">
        <v>198</v>
      </c>
      <c r="D14" s="43">
        <v>893</v>
      </c>
      <c r="E14" s="43">
        <v>4469</v>
      </c>
      <c r="F14" s="44">
        <v>453</v>
      </c>
      <c r="G14" s="44">
        <v>151</v>
      </c>
    </row>
    <row r="15" spans="1:7">
      <c r="A15" s="42">
        <v>43012</v>
      </c>
      <c r="B15" s="41" t="s">
        <v>202</v>
      </c>
      <c r="C15" s="41" t="s">
        <v>198</v>
      </c>
      <c r="D15" s="43">
        <v>177</v>
      </c>
      <c r="E15" s="43">
        <v>888</v>
      </c>
      <c r="F15" s="44">
        <v>450</v>
      </c>
      <c r="G15" s="44">
        <v>150</v>
      </c>
    </row>
    <row r="16" spans="1:7">
      <c r="A16" s="42">
        <v>43013</v>
      </c>
      <c r="B16" s="41" t="s">
        <v>203</v>
      </c>
      <c r="C16" s="41" t="s">
        <v>204</v>
      </c>
      <c r="D16" s="43">
        <v>20166</v>
      </c>
      <c r="E16" s="43">
        <v>100832</v>
      </c>
      <c r="F16" s="44">
        <v>519</v>
      </c>
      <c r="G16" s="44">
        <v>173</v>
      </c>
    </row>
    <row r="17" spans="1:7">
      <c r="A17" s="42">
        <v>43013</v>
      </c>
      <c r="B17" s="41" t="s">
        <v>205</v>
      </c>
      <c r="C17" s="41" t="s">
        <v>198</v>
      </c>
      <c r="D17" s="43">
        <v>3708</v>
      </c>
      <c r="E17" s="43">
        <v>18543</v>
      </c>
      <c r="F17" s="44">
        <v>462</v>
      </c>
      <c r="G17" s="44">
        <v>154</v>
      </c>
    </row>
    <row r="18" spans="1:7">
      <c r="A18" s="42">
        <v>43013</v>
      </c>
      <c r="B18" s="41" t="s">
        <v>206</v>
      </c>
      <c r="C18" s="41" t="s">
        <v>198</v>
      </c>
      <c r="D18" s="43">
        <v>4899</v>
      </c>
      <c r="E18" s="43">
        <v>24495</v>
      </c>
      <c r="F18" s="44">
        <v>468</v>
      </c>
      <c r="G18" s="44">
        <v>156</v>
      </c>
    </row>
    <row r="19" spans="1:7">
      <c r="A19" s="42">
        <v>43013</v>
      </c>
      <c r="B19" s="41" t="s">
        <v>207</v>
      </c>
      <c r="C19" s="41" t="s">
        <v>198</v>
      </c>
      <c r="D19" s="43">
        <v>494</v>
      </c>
      <c r="E19" s="43">
        <v>2470</v>
      </c>
      <c r="F19" s="44">
        <v>453</v>
      </c>
      <c r="G19" s="44">
        <v>151</v>
      </c>
    </row>
    <row r="20" spans="1:7">
      <c r="A20" s="42">
        <v>43013</v>
      </c>
      <c r="B20" s="41" t="s">
        <v>208</v>
      </c>
      <c r="C20" s="41" t="s">
        <v>209</v>
      </c>
      <c r="D20" s="43">
        <v>2162</v>
      </c>
      <c r="E20" s="43">
        <v>10813</v>
      </c>
      <c r="F20" s="44">
        <v>459</v>
      </c>
      <c r="G20" s="44">
        <v>153</v>
      </c>
    </row>
    <row r="21" spans="1:7">
      <c r="A21" s="42">
        <v>43019</v>
      </c>
      <c r="B21" s="41" t="s">
        <v>210</v>
      </c>
      <c r="C21" s="41" t="s">
        <v>211</v>
      </c>
      <c r="D21" s="43">
        <v>1833</v>
      </c>
      <c r="E21" s="43">
        <v>9165</v>
      </c>
      <c r="F21" s="44">
        <v>456</v>
      </c>
      <c r="G21" s="44">
        <v>152</v>
      </c>
    </row>
    <row r="22" spans="1:7">
      <c r="A22" s="42">
        <v>43021</v>
      </c>
      <c r="B22" s="41" t="s">
        <v>123</v>
      </c>
      <c r="C22" s="41" t="s">
        <v>212</v>
      </c>
      <c r="D22" s="43">
        <v>362147</v>
      </c>
      <c r="E22" s="43">
        <v>1800735</v>
      </c>
      <c r="F22" s="44">
        <v>1494</v>
      </c>
      <c r="G22" s="44">
        <v>498</v>
      </c>
    </row>
    <row r="23" spans="1:7">
      <c r="A23" s="42">
        <v>43022</v>
      </c>
      <c r="B23" s="41" t="s">
        <v>210</v>
      </c>
      <c r="C23" s="41" t="s">
        <v>213</v>
      </c>
      <c r="D23" s="43">
        <v>1833</v>
      </c>
      <c r="E23" s="43">
        <v>9165</v>
      </c>
      <c r="F23" s="44">
        <v>456</v>
      </c>
      <c r="G23" s="44">
        <v>152</v>
      </c>
    </row>
    <row r="24" spans="1:7">
      <c r="A24" s="42">
        <v>43027</v>
      </c>
      <c r="B24" s="41" t="s">
        <v>214</v>
      </c>
      <c r="C24" s="41" t="s">
        <v>215</v>
      </c>
      <c r="D24" s="43">
        <v>1855</v>
      </c>
      <c r="E24" s="43">
        <v>9279</v>
      </c>
      <c r="F24" s="44">
        <v>456</v>
      </c>
      <c r="G24" s="44">
        <v>152</v>
      </c>
    </row>
    <row r="25" spans="1:7">
      <c r="A25" s="42">
        <v>43028</v>
      </c>
      <c r="B25" s="41" t="s">
        <v>216</v>
      </c>
      <c r="C25" s="41" t="s">
        <v>217</v>
      </c>
      <c r="D25" s="43">
        <v>63608</v>
      </c>
      <c r="E25" s="43">
        <v>318044</v>
      </c>
      <c r="F25" s="44">
        <v>663</v>
      </c>
      <c r="G25" s="44">
        <v>221</v>
      </c>
    </row>
    <row r="26" spans="1:7">
      <c r="A26" s="42">
        <v>43028</v>
      </c>
      <c r="B26" s="41" t="s">
        <v>6</v>
      </c>
      <c r="C26" s="41" t="s">
        <v>217</v>
      </c>
      <c r="D26" s="43">
        <v>162857</v>
      </c>
      <c r="E26" s="43">
        <v>814287</v>
      </c>
      <c r="F26" s="44">
        <v>963</v>
      </c>
      <c r="G26" s="44">
        <v>321</v>
      </c>
    </row>
    <row r="27" spans="1:7">
      <c r="A27" s="42">
        <v>43028</v>
      </c>
      <c r="B27" s="41" t="s">
        <v>127</v>
      </c>
      <c r="C27" s="41" t="s">
        <v>128</v>
      </c>
      <c r="D27" s="43"/>
      <c r="E27" s="43" t="s">
        <v>129</v>
      </c>
      <c r="F27" s="44">
        <v>450</v>
      </c>
      <c r="G27" s="44">
        <v>150</v>
      </c>
    </row>
    <row r="28" spans="1:7">
      <c r="A28" s="42">
        <v>43028</v>
      </c>
      <c r="B28" s="41" t="s">
        <v>24</v>
      </c>
      <c r="C28" s="41" t="s">
        <v>218</v>
      </c>
      <c r="D28" s="43">
        <v>1678</v>
      </c>
      <c r="E28" s="43">
        <v>8390</v>
      </c>
      <c r="F28" s="44">
        <v>456</v>
      </c>
      <c r="G28" s="44">
        <v>152</v>
      </c>
    </row>
    <row r="29" spans="1:7">
      <c r="A29" s="42">
        <v>43032</v>
      </c>
      <c r="B29" s="41" t="s">
        <v>107</v>
      </c>
      <c r="C29" s="41" t="s">
        <v>128</v>
      </c>
      <c r="D29" s="43">
        <v>2552</v>
      </c>
      <c r="E29" s="43">
        <v>12761</v>
      </c>
      <c r="F29" s="44">
        <v>459</v>
      </c>
      <c r="G29" s="44">
        <v>153</v>
      </c>
    </row>
    <row r="30" spans="1:7">
      <c r="A30" s="42">
        <v>43032</v>
      </c>
      <c r="B30" s="41" t="s">
        <v>219</v>
      </c>
      <c r="C30" s="41" t="s">
        <v>220</v>
      </c>
      <c r="D30" s="43" t="s">
        <v>129</v>
      </c>
      <c r="E30" s="43" t="s">
        <v>129</v>
      </c>
      <c r="F30" s="44">
        <v>450</v>
      </c>
      <c r="G30" s="44">
        <v>150</v>
      </c>
    </row>
    <row r="31" spans="1:7">
      <c r="A31" s="42">
        <v>42994</v>
      </c>
      <c r="B31" s="41" t="s">
        <v>221</v>
      </c>
      <c r="C31" s="41" t="s">
        <v>184</v>
      </c>
      <c r="D31" s="43">
        <v>16676</v>
      </c>
      <c r="E31" s="43">
        <v>80000</v>
      </c>
      <c r="F31" s="53">
        <v>5860</v>
      </c>
      <c r="G31" s="44">
        <v>5860</v>
      </c>
    </row>
    <row r="32" spans="1:7">
      <c r="A32" s="42">
        <v>43020</v>
      </c>
      <c r="B32" s="41" t="s">
        <v>5</v>
      </c>
      <c r="C32" s="41" t="s">
        <v>222</v>
      </c>
      <c r="D32" s="43">
        <v>50000</v>
      </c>
      <c r="E32" s="43">
        <v>78000</v>
      </c>
      <c r="F32" s="53">
        <v>2479</v>
      </c>
      <c r="G32" s="44">
        <v>2479</v>
      </c>
    </row>
    <row r="33" spans="1:7">
      <c r="A33" s="42">
        <v>43024</v>
      </c>
      <c r="B33" s="41" t="s">
        <v>223</v>
      </c>
      <c r="C33" s="41" t="s">
        <v>224</v>
      </c>
      <c r="D33" s="41">
        <v>44504</v>
      </c>
      <c r="E33" s="41">
        <v>163000</v>
      </c>
      <c r="F33" s="53">
        <v>11455</v>
      </c>
      <c r="G33" s="44">
        <v>11455</v>
      </c>
    </row>
    <row r="34" spans="1:7">
      <c r="A34" s="42">
        <v>43034</v>
      </c>
      <c r="B34" s="41" t="s">
        <v>225</v>
      </c>
      <c r="C34" s="41" t="s">
        <v>226</v>
      </c>
      <c r="D34" s="41">
        <v>44504</v>
      </c>
      <c r="E34" s="41">
        <v>163000</v>
      </c>
      <c r="F34" s="53">
        <v>11455</v>
      </c>
      <c r="G34" s="44">
        <v>11455</v>
      </c>
    </row>
    <row r="35" spans="1:7">
      <c r="A35" s="41"/>
      <c r="B35" s="41"/>
      <c r="C35" s="41"/>
      <c r="D35" s="41"/>
      <c r="E35" s="41"/>
      <c r="F35" s="41"/>
      <c r="G35" s="41"/>
    </row>
    <row r="36" spans="1:7">
      <c r="A36" s="41"/>
      <c r="B36" s="41" t="s">
        <v>179</v>
      </c>
      <c r="C36" s="41"/>
      <c r="D36" s="43">
        <f>D20+D23+D21+D24+D25+D26+D27+D28+D29</f>
        <v>238378</v>
      </c>
      <c r="E36" s="43">
        <f>SUM(E20+E21+E23+E24+E25+E26+E28+E29)</f>
        <v>1191904</v>
      </c>
      <c r="F36" s="44">
        <f>F20+F23+F21+F24+F25+F26+F27+F28+F29</f>
        <v>4818</v>
      </c>
      <c r="G36" s="44">
        <f>G20+G23+G21+G24+G25+G26+G27+G28+G29</f>
        <v>1606</v>
      </c>
    </row>
    <row r="37" spans="1:7">
      <c r="A37" s="41"/>
      <c r="B37" s="41" t="s">
        <v>180</v>
      </c>
      <c r="C37" s="41"/>
      <c r="D37" s="43">
        <f>D38-D36</f>
        <v>743557</v>
      </c>
      <c r="E37" s="43">
        <f t="shared" ref="E37:G37" si="0">E38-E36</f>
        <v>3413446</v>
      </c>
      <c r="F37" s="44">
        <f t="shared" si="0"/>
        <v>42016</v>
      </c>
      <c r="G37" s="44">
        <f t="shared" si="0"/>
        <v>34838</v>
      </c>
    </row>
    <row r="38" spans="1:7">
      <c r="A38" s="41"/>
      <c r="B38" s="54" t="s">
        <v>181</v>
      </c>
      <c r="C38" s="54"/>
      <c r="D38" s="55">
        <f>SUM(D2:D34)</f>
        <v>981935</v>
      </c>
      <c r="E38" s="55">
        <f t="shared" ref="E38:G38" si="1">SUM(E2:E34)</f>
        <v>4605350</v>
      </c>
      <c r="F38" s="56">
        <f t="shared" si="1"/>
        <v>46834</v>
      </c>
      <c r="G38" s="56">
        <f t="shared" si="1"/>
        <v>36444</v>
      </c>
    </row>
    <row r="39" spans="1:7">
      <c r="A39" s="41"/>
      <c r="B39" s="41"/>
      <c r="C39" s="41"/>
      <c r="D39" s="41"/>
      <c r="E39" s="41"/>
      <c r="F39" s="41"/>
      <c r="G39" s="41"/>
    </row>
    <row r="40" spans="1:7">
      <c r="A40" s="41"/>
      <c r="B40" s="41"/>
      <c r="C40" s="41"/>
      <c r="D40" s="41"/>
      <c r="E40" s="41">
        <v>86000</v>
      </c>
      <c r="F40" s="41">
        <f>(E40*F38)/E38</f>
        <v>874.57500515704567</v>
      </c>
      <c r="G40" s="41"/>
    </row>
    <row r="41" spans="1:7">
      <c r="A41" s="41"/>
      <c r="B41" s="41"/>
      <c r="C41" s="41"/>
      <c r="D41" s="41"/>
      <c r="E41" s="41">
        <f>398+435+146</f>
        <v>979</v>
      </c>
      <c r="F41" s="41">
        <f>E41*2</f>
        <v>1958</v>
      </c>
      <c r="G41" s="41"/>
    </row>
    <row r="42" spans="1:7">
      <c r="A42" s="41"/>
      <c r="B42" s="41"/>
      <c r="C42" s="41"/>
      <c r="D42" s="41"/>
      <c r="E42" s="41"/>
      <c r="F42" s="41">
        <f>F41+F40</f>
        <v>2832.5750051570458</v>
      </c>
      <c r="G42" s="41"/>
    </row>
    <row r="43" spans="1:7">
      <c r="A43" s="41"/>
      <c r="B43" s="41"/>
      <c r="C43" s="41"/>
      <c r="D43" s="41"/>
      <c r="E43" s="41"/>
      <c r="F43" s="41"/>
      <c r="G43" s="41"/>
    </row>
    <row r="44" spans="1:7">
      <c r="A44" s="41"/>
      <c r="B44" s="41"/>
      <c r="C44" s="41"/>
      <c r="D44" s="41"/>
      <c r="E44" s="41">
        <v>5895</v>
      </c>
      <c r="F44" s="41">
        <f>(E44*F38)/E38</f>
        <v>59.949065760474234</v>
      </c>
      <c r="G44" s="41"/>
    </row>
    <row r="45" spans="1:7">
      <c r="A45" s="41"/>
      <c r="B45" s="41"/>
      <c r="C45" s="41"/>
      <c r="D45" s="41"/>
      <c r="E45" s="41">
        <v>109</v>
      </c>
      <c r="F45" s="41">
        <f>E45*2</f>
        <v>218</v>
      </c>
      <c r="G45" s="41"/>
    </row>
    <row r="46" spans="1:7">
      <c r="A46" s="41"/>
      <c r="B46" s="41"/>
      <c r="C46" s="41"/>
      <c r="D46" s="41"/>
      <c r="E46" s="41"/>
      <c r="F46" s="41">
        <f>SUM(F44+F45)</f>
        <v>277.94906576047424</v>
      </c>
      <c r="G46" s="41"/>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14786-2995-D94D-A88C-BD03914A4C22}">
  <dimension ref="A1:G18"/>
  <sheetViews>
    <sheetView workbookViewId="0">
      <selection activeCell="F14" sqref="F14"/>
    </sheetView>
  </sheetViews>
  <sheetFormatPr baseColWidth="10" defaultRowHeight="17.100000000000001" customHeight="1"/>
  <cols>
    <col min="2" max="2" width="13.375" bestFit="1" customWidth="1"/>
    <col min="3" max="3" width="63.5" bestFit="1" customWidth="1"/>
    <col min="4" max="4" width="27.375" customWidth="1"/>
    <col min="5" max="5" width="15.625" customWidth="1"/>
  </cols>
  <sheetData>
    <row r="1" spans="1:7" ht="21">
      <c r="A1" s="126" t="s">
        <v>344</v>
      </c>
      <c r="B1" s="126"/>
      <c r="C1" s="126"/>
      <c r="D1" s="126"/>
      <c r="E1" s="126"/>
    </row>
    <row r="2" spans="1:7" ht="15.75">
      <c r="A2" s="90" t="s">
        <v>345</v>
      </c>
      <c r="B2" s="90" t="s">
        <v>346</v>
      </c>
      <c r="C2" s="90" t="s">
        <v>347</v>
      </c>
      <c r="D2" s="90" t="s">
        <v>603</v>
      </c>
      <c r="E2" s="90" t="s">
        <v>349</v>
      </c>
    </row>
    <row r="3" spans="1:7" ht="15.75">
      <c r="A3" s="127" t="s">
        <v>46</v>
      </c>
      <c r="B3" s="114" t="s">
        <v>350</v>
      </c>
      <c r="C3" s="92" t="s">
        <v>351</v>
      </c>
      <c r="D3" s="93">
        <v>4106</v>
      </c>
      <c r="E3" s="96">
        <f>D3/1500</f>
        <v>2.7373333333333334</v>
      </c>
    </row>
    <row r="4" spans="1:7" ht="15.75">
      <c r="A4" s="127"/>
      <c r="B4" s="114" t="s">
        <v>352</v>
      </c>
      <c r="C4" s="92" t="s">
        <v>353</v>
      </c>
      <c r="D4" s="93">
        <v>6604</v>
      </c>
      <c r="E4" s="96">
        <f>D4/2500</f>
        <v>2.6415999999999999</v>
      </c>
    </row>
    <row r="5" spans="1:7" ht="31.5">
      <c r="A5" s="127" t="s">
        <v>354</v>
      </c>
      <c r="B5" s="127" t="s">
        <v>50</v>
      </c>
      <c r="C5" s="92" t="s">
        <v>355</v>
      </c>
      <c r="D5" s="124" t="s">
        <v>605</v>
      </c>
      <c r="E5" s="96">
        <f>3/3</f>
        <v>1</v>
      </c>
    </row>
    <row r="6" spans="1:7" ht="15.75">
      <c r="A6" s="127"/>
      <c r="B6" s="127"/>
      <c r="C6" s="92" t="s">
        <v>357</v>
      </c>
      <c r="D6" s="114" t="s">
        <v>358</v>
      </c>
      <c r="E6" s="95">
        <v>0</v>
      </c>
    </row>
    <row r="7" spans="1:7" ht="15.75">
      <c r="A7" s="127"/>
      <c r="B7" s="127"/>
      <c r="C7" s="92" t="s">
        <v>359</v>
      </c>
      <c r="D7" s="114" t="s">
        <v>604</v>
      </c>
      <c r="E7" s="96">
        <v>1</v>
      </c>
    </row>
    <row r="8" spans="1:7" ht="15.75">
      <c r="A8" s="127" t="s">
        <v>361</v>
      </c>
      <c r="B8" s="127" t="s">
        <v>53</v>
      </c>
      <c r="C8" s="92" t="s">
        <v>362</v>
      </c>
      <c r="D8" s="114">
        <v>2119</v>
      </c>
      <c r="E8" s="94">
        <f>D8/2150</f>
        <v>0.98558139534883726</v>
      </c>
      <c r="F8">
        <f>2119-1792</f>
        <v>327</v>
      </c>
      <c r="G8">
        <f>F8/1792</f>
        <v>0.18247767857142858</v>
      </c>
    </row>
    <row r="9" spans="1:7" ht="15.75">
      <c r="A9" s="127"/>
      <c r="B9" s="127"/>
      <c r="C9" s="92" t="s">
        <v>363</v>
      </c>
      <c r="D9" s="114">
        <v>117</v>
      </c>
      <c r="E9" s="96">
        <f>119/77</f>
        <v>1.5454545454545454</v>
      </c>
    </row>
    <row r="10" spans="1:7" ht="15.75">
      <c r="A10" s="127"/>
      <c r="B10" s="127"/>
      <c r="C10" s="92" t="s">
        <v>364</v>
      </c>
      <c r="D10" s="93">
        <v>88600</v>
      </c>
      <c r="E10" s="96">
        <f>D10/44280</f>
        <v>2.0009033423667568</v>
      </c>
    </row>
    <row r="11" spans="1:7" ht="15.75">
      <c r="A11" s="127"/>
      <c r="B11" s="127"/>
      <c r="C11" s="92" t="s">
        <v>365</v>
      </c>
      <c r="D11" s="114">
        <v>743</v>
      </c>
      <c r="E11" s="96">
        <f>D11/368</f>
        <v>2.0190217391304346</v>
      </c>
      <c r="F11">
        <f>743-250</f>
        <v>493</v>
      </c>
    </row>
    <row r="12" spans="1:7" ht="15.75">
      <c r="A12" s="127"/>
      <c r="B12" s="127" t="s">
        <v>54</v>
      </c>
      <c r="C12" s="92" t="s">
        <v>366</v>
      </c>
      <c r="D12" s="114">
        <v>294</v>
      </c>
      <c r="E12" s="94">
        <f>294/300</f>
        <v>0.98</v>
      </c>
      <c r="F12">
        <f>1249-1042</f>
        <v>207</v>
      </c>
      <c r="G12">
        <f>294+207</f>
        <v>501</v>
      </c>
    </row>
    <row r="13" spans="1:7" ht="15.75">
      <c r="A13" s="127"/>
      <c r="B13" s="127"/>
      <c r="C13" s="92" t="s">
        <v>367</v>
      </c>
      <c r="D13" s="114" t="s">
        <v>616</v>
      </c>
      <c r="E13" s="94">
        <f>7.1/12</f>
        <v>0.59166666666666667</v>
      </c>
    </row>
    <row r="14" spans="1:7" ht="15.75">
      <c r="A14" s="127"/>
      <c r="B14" s="127"/>
      <c r="C14" s="92" t="s">
        <v>368</v>
      </c>
      <c r="D14" s="93">
        <f>(5931+1880+3077+5037+4578+2482+3801+1745+1074)/9</f>
        <v>3289.4444444444443</v>
      </c>
      <c r="E14" s="96">
        <f>D14/2000</f>
        <v>1.6447222222222222</v>
      </c>
    </row>
    <row r="15" spans="1:7" ht="15.75">
      <c r="A15" s="127"/>
      <c r="B15" s="127"/>
      <c r="C15" s="92" t="s">
        <v>369</v>
      </c>
      <c r="D15" s="114">
        <v>58</v>
      </c>
      <c r="E15" s="96">
        <f>D15/30</f>
        <v>1.9333333333333333</v>
      </c>
    </row>
    <row r="16" spans="1:7" ht="15.75">
      <c r="A16" s="127"/>
      <c r="B16" s="127" t="s">
        <v>55</v>
      </c>
      <c r="C16" s="92" t="s">
        <v>370</v>
      </c>
      <c r="D16" s="114">
        <v>22</v>
      </c>
      <c r="E16" s="96">
        <f>22/20</f>
        <v>1.1000000000000001</v>
      </c>
    </row>
    <row r="17" spans="1:5" ht="15.75">
      <c r="A17" s="127"/>
      <c r="B17" s="127"/>
      <c r="C17" s="92" t="s">
        <v>371</v>
      </c>
      <c r="D17" s="114" t="s">
        <v>609</v>
      </c>
      <c r="E17" s="96">
        <f>22/12</f>
        <v>1.8333333333333333</v>
      </c>
    </row>
    <row r="18" spans="1:5" ht="15.75">
      <c r="A18" s="127"/>
      <c r="B18" s="127"/>
      <c r="C18" s="92" t="s">
        <v>372</v>
      </c>
      <c r="D18" s="114">
        <v>1700</v>
      </c>
      <c r="E18" s="96">
        <f>D18/500</f>
        <v>3.4</v>
      </c>
    </row>
  </sheetData>
  <mergeCells count="8">
    <mergeCell ref="A1:E1"/>
    <mergeCell ref="A3:A4"/>
    <mergeCell ref="A5:A7"/>
    <mergeCell ref="B5:B7"/>
    <mergeCell ref="A8:A18"/>
    <mergeCell ref="B8:B11"/>
    <mergeCell ref="B12:B15"/>
    <mergeCell ref="B16:B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ACED4-16B3-544F-8699-67650EF2CD42}">
  <dimension ref="A1:M68"/>
  <sheetViews>
    <sheetView topLeftCell="A48" workbookViewId="0">
      <selection activeCell="E71" sqref="E71"/>
    </sheetView>
  </sheetViews>
  <sheetFormatPr baseColWidth="10" defaultRowHeight="15.75"/>
  <cols>
    <col min="1" max="1" width="70.5" style="3" customWidth="1"/>
    <col min="2" max="2" width="23.625" style="3" customWidth="1"/>
    <col min="3" max="3" width="17" bestFit="1" customWidth="1"/>
    <col min="4" max="4" width="15.125" bestFit="1" customWidth="1"/>
    <col min="5" max="5" width="22.5" bestFit="1" customWidth="1"/>
    <col min="6" max="6" width="19.125" bestFit="1" customWidth="1"/>
  </cols>
  <sheetData>
    <row r="1" spans="1:13">
      <c r="A1" s="68" t="s">
        <v>10</v>
      </c>
      <c r="B1" s="68" t="s">
        <v>0</v>
      </c>
      <c r="C1" s="69" t="s">
        <v>1</v>
      </c>
      <c r="D1" s="69" t="s">
        <v>2</v>
      </c>
      <c r="E1" s="69" t="s">
        <v>3</v>
      </c>
      <c r="F1" s="69" t="s">
        <v>4</v>
      </c>
      <c r="G1" s="11"/>
      <c r="H1" s="11"/>
      <c r="I1" s="11"/>
      <c r="J1" s="11"/>
      <c r="K1" s="11"/>
      <c r="L1" s="11"/>
      <c r="M1" s="11"/>
    </row>
    <row r="2" spans="1:13">
      <c r="A2" s="39" t="s">
        <v>459</v>
      </c>
      <c r="B2" s="11" t="s">
        <v>121</v>
      </c>
      <c r="C2" s="71">
        <v>7369</v>
      </c>
      <c r="D2" s="71">
        <v>22107</v>
      </c>
      <c r="E2" s="72">
        <v>5410</v>
      </c>
      <c r="F2" s="72">
        <v>5410</v>
      </c>
      <c r="G2" s="11"/>
    </row>
    <row r="3" spans="1:13">
      <c r="A3" s="39" t="s">
        <v>460</v>
      </c>
      <c r="B3" s="11" t="s">
        <v>461</v>
      </c>
      <c r="C3" s="11"/>
      <c r="D3" s="11"/>
      <c r="E3" s="11"/>
      <c r="F3" s="11"/>
      <c r="G3" s="11"/>
    </row>
    <row r="4" spans="1:13">
      <c r="A4" s="39" t="s">
        <v>462</v>
      </c>
      <c r="B4" s="11" t="s">
        <v>463</v>
      </c>
      <c r="C4" s="11"/>
      <c r="D4" s="11"/>
      <c r="E4" s="11"/>
      <c r="F4" s="11"/>
      <c r="G4" s="11"/>
    </row>
    <row r="5" spans="1:13">
      <c r="A5" s="39" t="s">
        <v>464</v>
      </c>
      <c r="B5" s="11" t="s">
        <v>17</v>
      </c>
      <c r="C5" s="75">
        <v>2162</v>
      </c>
      <c r="D5" s="75">
        <v>10813</v>
      </c>
      <c r="E5" s="76">
        <v>666</v>
      </c>
      <c r="F5" s="76">
        <v>222</v>
      </c>
      <c r="G5" s="11"/>
    </row>
    <row r="6" spans="1:13">
      <c r="A6" s="39" t="s">
        <v>465</v>
      </c>
      <c r="B6" s="11" t="s">
        <v>24</v>
      </c>
      <c r="C6" s="75">
        <v>1678</v>
      </c>
      <c r="D6" s="75">
        <v>8390</v>
      </c>
      <c r="E6" s="76">
        <v>456</v>
      </c>
      <c r="F6" s="76">
        <v>152</v>
      </c>
      <c r="G6" s="11"/>
    </row>
    <row r="7" spans="1:13">
      <c r="A7" s="39" t="s">
        <v>466</v>
      </c>
      <c r="B7" s="11" t="s">
        <v>132</v>
      </c>
      <c r="C7" s="43">
        <v>2552</v>
      </c>
      <c r="D7" s="43">
        <v>12761</v>
      </c>
      <c r="E7" s="44">
        <v>459</v>
      </c>
      <c r="F7" s="44">
        <v>153</v>
      </c>
      <c r="G7" s="11"/>
    </row>
    <row r="8" spans="1:13">
      <c r="A8" s="39" t="s">
        <v>467</v>
      </c>
      <c r="B8" s="11" t="s">
        <v>468</v>
      </c>
      <c r="C8" s="11"/>
      <c r="D8" s="11"/>
      <c r="E8" s="11"/>
      <c r="F8" s="11"/>
      <c r="G8" s="11"/>
    </row>
    <row r="9" spans="1:13">
      <c r="A9" s="39" t="s">
        <v>469</v>
      </c>
      <c r="B9" s="11" t="s">
        <v>470</v>
      </c>
      <c r="C9" s="11"/>
      <c r="D9" s="11"/>
      <c r="E9" s="11"/>
      <c r="F9" s="11"/>
      <c r="G9" s="11"/>
    </row>
    <row r="10" spans="1:13">
      <c r="A10" s="39" t="s">
        <v>471</v>
      </c>
      <c r="B10" s="11" t="s">
        <v>472</v>
      </c>
      <c r="C10" s="11">
        <v>1877956</v>
      </c>
      <c r="D10" s="11">
        <v>9389781</v>
      </c>
      <c r="E10" s="44">
        <v>140</v>
      </c>
      <c r="F10" s="44">
        <v>4334</v>
      </c>
      <c r="G10" s="11"/>
    </row>
    <row r="11" spans="1:13">
      <c r="A11" s="39" t="s">
        <v>471</v>
      </c>
      <c r="B11" s="11" t="s">
        <v>183</v>
      </c>
      <c r="C11" s="75">
        <v>38369</v>
      </c>
      <c r="D11" s="75">
        <v>82728</v>
      </c>
      <c r="E11" s="76">
        <v>4939</v>
      </c>
      <c r="F11" s="76">
        <v>4939</v>
      </c>
      <c r="G11" s="11"/>
    </row>
    <row r="12" spans="1:13">
      <c r="A12" s="39" t="s">
        <v>471</v>
      </c>
      <c r="B12" s="11" t="s">
        <v>473</v>
      </c>
      <c r="C12" s="11"/>
      <c r="D12" s="11"/>
      <c r="E12" s="11"/>
      <c r="F12" s="11"/>
      <c r="G12" s="11"/>
    </row>
    <row r="13" spans="1:13">
      <c r="A13" s="39" t="s">
        <v>471</v>
      </c>
      <c r="B13" s="11" t="s">
        <v>29</v>
      </c>
      <c r="C13" s="75">
        <v>183704</v>
      </c>
      <c r="D13" s="75">
        <v>918524</v>
      </c>
      <c r="E13" s="76">
        <v>1023</v>
      </c>
      <c r="F13" s="76">
        <v>341</v>
      </c>
      <c r="G13" s="11"/>
    </row>
    <row r="14" spans="1:13">
      <c r="A14" s="39" t="s">
        <v>474</v>
      </c>
      <c r="B14" s="11" t="s">
        <v>24</v>
      </c>
      <c r="C14" s="75">
        <v>1678</v>
      </c>
      <c r="D14" s="75">
        <v>8390</v>
      </c>
      <c r="E14" s="76">
        <v>456</v>
      </c>
      <c r="F14" s="76">
        <v>152</v>
      </c>
      <c r="G14" s="11"/>
    </row>
    <row r="15" spans="1:13">
      <c r="A15" s="11" t="s">
        <v>469</v>
      </c>
      <c r="B15" s="11" t="s">
        <v>472</v>
      </c>
      <c r="C15" s="11">
        <v>1877956</v>
      </c>
      <c r="D15" s="11">
        <v>9389781</v>
      </c>
      <c r="E15" s="44">
        <v>140</v>
      </c>
      <c r="F15" s="44">
        <v>4334</v>
      </c>
      <c r="G15" s="11"/>
    </row>
    <row r="16" spans="1:13">
      <c r="A16" s="11" t="s">
        <v>469</v>
      </c>
      <c r="B16" s="11" t="s">
        <v>183</v>
      </c>
      <c r="C16" s="75">
        <v>38369</v>
      </c>
      <c r="D16" s="75">
        <v>82728</v>
      </c>
      <c r="E16" s="76">
        <v>4939</v>
      </c>
      <c r="F16" s="76">
        <v>4939</v>
      </c>
      <c r="G16" s="11"/>
    </row>
    <row r="17" spans="1:7">
      <c r="A17" s="11" t="s">
        <v>475</v>
      </c>
      <c r="B17" s="11" t="s">
        <v>6</v>
      </c>
      <c r="C17" s="45">
        <v>162857</v>
      </c>
      <c r="D17" s="45">
        <v>814287</v>
      </c>
      <c r="E17" s="46">
        <v>6114</v>
      </c>
      <c r="F17" s="46">
        <v>2038</v>
      </c>
      <c r="G17" s="11"/>
    </row>
    <row r="18" spans="1:7">
      <c r="A18" s="39" t="s">
        <v>476</v>
      </c>
      <c r="B18" s="11" t="s">
        <v>24</v>
      </c>
      <c r="C18" s="75">
        <v>1678</v>
      </c>
      <c r="D18" s="75">
        <v>8390</v>
      </c>
      <c r="E18" s="76">
        <v>456</v>
      </c>
      <c r="F18" s="76">
        <v>152</v>
      </c>
      <c r="G18" s="11"/>
    </row>
    <row r="19" spans="1:7">
      <c r="A19" s="39" t="s">
        <v>477</v>
      </c>
      <c r="B19" s="11" t="s">
        <v>29</v>
      </c>
      <c r="C19" s="75">
        <v>183704</v>
      </c>
      <c r="D19" s="75">
        <v>918524</v>
      </c>
      <c r="E19" s="76">
        <v>1023</v>
      </c>
      <c r="F19" s="76">
        <v>341</v>
      </c>
      <c r="G19" s="11"/>
    </row>
    <row r="20" spans="1:7">
      <c r="A20" s="11" t="s">
        <v>477</v>
      </c>
      <c r="B20" s="11" t="s">
        <v>183</v>
      </c>
      <c r="C20" s="75">
        <v>38369</v>
      </c>
      <c r="D20" s="75">
        <v>82728</v>
      </c>
      <c r="E20" s="76">
        <v>4939</v>
      </c>
      <c r="F20" s="76">
        <v>4939</v>
      </c>
      <c r="G20" s="11"/>
    </row>
    <row r="21" spans="1:7">
      <c r="A21" s="11" t="s">
        <v>477</v>
      </c>
      <c r="B21" s="11" t="s">
        <v>472</v>
      </c>
      <c r="C21" s="11">
        <v>1877956</v>
      </c>
      <c r="D21" s="11">
        <v>9389781</v>
      </c>
      <c r="E21" s="44">
        <v>140</v>
      </c>
      <c r="F21" s="44">
        <v>4334</v>
      </c>
      <c r="G21" s="11"/>
    </row>
    <row r="22" spans="1:7">
      <c r="A22" s="39" t="s">
        <v>477</v>
      </c>
      <c r="B22" s="11" t="s">
        <v>478</v>
      </c>
      <c r="C22" s="11"/>
      <c r="D22" s="11"/>
      <c r="E22" s="11"/>
      <c r="F22" s="11"/>
      <c r="G22" s="11"/>
    </row>
    <row r="23" spans="1:7">
      <c r="A23" s="39" t="s">
        <v>479</v>
      </c>
      <c r="B23" s="11" t="s">
        <v>441</v>
      </c>
      <c r="C23" s="75">
        <v>45785</v>
      </c>
      <c r="D23" s="75">
        <v>228929</v>
      </c>
      <c r="E23" s="76">
        <v>603</v>
      </c>
      <c r="F23" s="76">
        <v>201</v>
      </c>
      <c r="G23" s="11"/>
    </row>
    <row r="24" spans="1:7">
      <c r="A24" s="11" t="s">
        <v>480</v>
      </c>
      <c r="B24" s="11" t="s">
        <v>472</v>
      </c>
      <c r="C24" s="11">
        <v>1877956</v>
      </c>
      <c r="D24" s="11">
        <v>9389781</v>
      </c>
      <c r="E24" s="44">
        <v>140</v>
      </c>
      <c r="F24" s="44">
        <v>4334</v>
      </c>
      <c r="G24" s="11"/>
    </row>
    <row r="25" spans="1:7">
      <c r="A25" s="11" t="s">
        <v>480</v>
      </c>
      <c r="B25" s="11" t="s">
        <v>183</v>
      </c>
      <c r="C25" s="75">
        <v>38369</v>
      </c>
      <c r="D25" s="75">
        <v>82728</v>
      </c>
      <c r="E25" s="76">
        <v>4939</v>
      </c>
      <c r="F25" s="76">
        <v>4939</v>
      </c>
      <c r="G25" s="11"/>
    </row>
    <row r="26" spans="1:7">
      <c r="A26" s="39" t="s">
        <v>480</v>
      </c>
      <c r="B26" s="11" t="s">
        <v>29</v>
      </c>
      <c r="C26" s="75">
        <v>183704</v>
      </c>
      <c r="D26" s="75">
        <v>918524</v>
      </c>
      <c r="E26" s="76">
        <v>1023</v>
      </c>
      <c r="F26" s="76">
        <v>341</v>
      </c>
      <c r="G26" s="11"/>
    </row>
    <row r="27" spans="1:7">
      <c r="A27" s="11" t="s">
        <v>481</v>
      </c>
      <c r="B27" s="11" t="s">
        <v>482</v>
      </c>
      <c r="C27" s="11"/>
      <c r="D27" s="11"/>
      <c r="E27" s="11"/>
      <c r="F27" s="11"/>
      <c r="G27" s="11"/>
    </row>
    <row r="28" spans="1:7">
      <c r="A28" s="11" t="s">
        <v>483</v>
      </c>
      <c r="B28" s="11" t="s">
        <v>17</v>
      </c>
      <c r="C28" s="75">
        <v>2162</v>
      </c>
      <c r="D28" s="75">
        <v>10813</v>
      </c>
      <c r="E28" s="76">
        <v>666</v>
      </c>
      <c r="F28" s="76">
        <v>222</v>
      </c>
      <c r="G28" s="11"/>
    </row>
    <row r="29" spans="1:7">
      <c r="A29" s="39" t="s">
        <v>484</v>
      </c>
      <c r="B29" s="11" t="s">
        <v>112</v>
      </c>
      <c r="C29" s="73">
        <v>1855</v>
      </c>
      <c r="D29" s="73">
        <v>9279</v>
      </c>
      <c r="E29" s="74">
        <v>456</v>
      </c>
      <c r="F29" s="74">
        <v>152</v>
      </c>
      <c r="G29" s="11"/>
    </row>
    <row r="30" spans="1:7">
      <c r="A30" s="11" t="s">
        <v>485</v>
      </c>
      <c r="B30" s="11" t="s">
        <v>486</v>
      </c>
      <c r="C30" s="11"/>
      <c r="D30" s="11"/>
      <c r="E30" s="11"/>
      <c r="F30" s="11"/>
      <c r="G30" s="11"/>
    </row>
    <row r="31" spans="1:7">
      <c r="A31" s="39" t="s">
        <v>487</v>
      </c>
      <c r="B31" s="11" t="s">
        <v>107</v>
      </c>
      <c r="C31" s="43">
        <v>2552</v>
      </c>
      <c r="D31" s="43">
        <v>12761</v>
      </c>
      <c r="E31" s="44">
        <v>459</v>
      </c>
      <c r="F31" s="44">
        <v>153</v>
      </c>
      <c r="G31" s="11"/>
    </row>
    <row r="32" spans="1:7">
      <c r="A32" s="39" t="s">
        <v>488</v>
      </c>
      <c r="B32" s="11" t="s">
        <v>24</v>
      </c>
      <c r="C32" s="75">
        <v>1678</v>
      </c>
      <c r="D32" s="75">
        <v>8390</v>
      </c>
      <c r="E32" s="76">
        <v>456</v>
      </c>
      <c r="F32" s="76">
        <v>152</v>
      </c>
      <c r="G32" s="11"/>
    </row>
    <row r="33" spans="1:7" ht="17.100000000000001" customHeight="1">
      <c r="A33" s="77" t="s">
        <v>489</v>
      </c>
      <c r="B33" s="11" t="s">
        <v>490</v>
      </c>
      <c r="C33" s="11"/>
      <c r="D33" s="11"/>
      <c r="E33" s="11"/>
      <c r="F33" s="11"/>
      <c r="G33" s="11"/>
    </row>
    <row r="34" spans="1:7">
      <c r="A34" s="39" t="s">
        <v>489</v>
      </c>
      <c r="B34" s="11" t="s">
        <v>491</v>
      </c>
      <c r="C34" s="11"/>
      <c r="D34" s="11"/>
      <c r="E34" s="11"/>
      <c r="F34" s="11"/>
      <c r="G34" s="11"/>
    </row>
    <row r="35" spans="1:7">
      <c r="A35" s="39" t="s">
        <v>489</v>
      </c>
      <c r="B35" s="11" t="s">
        <v>492</v>
      </c>
      <c r="C35" s="11"/>
      <c r="D35" s="11"/>
      <c r="E35" s="11"/>
      <c r="F35" s="11"/>
      <c r="G35" s="11"/>
    </row>
    <row r="36" spans="1:7">
      <c r="A36" s="39" t="s">
        <v>493</v>
      </c>
      <c r="B36" s="11" t="s">
        <v>494</v>
      </c>
      <c r="C36" s="11"/>
      <c r="D36" s="11"/>
      <c r="E36" s="11"/>
      <c r="F36" s="11"/>
      <c r="G36" s="11"/>
    </row>
    <row r="37" spans="1:7">
      <c r="A37" s="39" t="s">
        <v>495</v>
      </c>
      <c r="B37" s="11" t="s">
        <v>141</v>
      </c>
      <c r="C37" s="41">
        <v>45785</v>
      </c>
      <c r="D37" s="41">
        <v>228929</v>
      </c>
      <c r="E37" s="2">
        <v>603</v>
      </c>
      <c r="F37" s="2">
        <v>201</v>
      </c>
      <c r="G37" s="11"/>
    </row>
    <row r="38" spans="1:7">
      <c r="A38" s="39" t="s">
        <v>496</v>
      </c>
      <c r="B38" s="11" t="s">
        <v>497</v>
      </c>
      <c r="C38" s="75">
        <v>1138</v>
      </c>
      <c r="D38" s="75">
        <v>5693</v>
      </c>
      <c r="E38" s="76">
        <v>567</v>
      </c>
      <c r="F38" s="76">
        <v>189</v>
      </c>
      <c r="G38" s="11"/>
    </row>
    <row r="39" spans="1:7">
      <c r="A39" s="11" t="s">
        <v>498</v>
      </c>
      <c r="B39" s="11" t="s">
        <v>499</v>
      </c>
      <c r="C39" s="11"/>
      <c r="D39" s="11"/>
      <c r="E39" s="11"/>
      <c r="F39" s="11"/>
      <c r="G39" s="11"/>
    </row>
    <row r="40" spans="1:7">
      <c r="A40" s="39" t="s">
        <v>500</v>
      </c>
      <c r="B40" s="11" t="s">
        <v>7</v>
      </c>
      <c r="C40" s="1">
        <v>55988</v>
      </c>
      <c r="D40" s="1">
        <v>279940</v>
      </c>
      <c r="E40" s="2">
        <v>3672</v>
      </c>
      <c r="F40" s="2">
        <v>1224</v>
      </c>
    </row>
    <row r="41" spans="1:7">
      <c r="A41" s="77" t="s">
        <v>501</v>
      </c>
      <c r="B41" s="11" t="s">
        <v>502</v>
      </c>
    </row>
    <row r="42" spans="1:7">
      <c r="A42" s="39" t="s">
        <v>503</v>
      </c>
      <c r="B42" s="11" t="s">
        <v>504</v>
      </c>
      <c r="C42" s="1">
        <v>79480</v>
      </c>
      <c r="D42" s="1">
        <v>244152</v>
      </c>
      <c r="E42" s="2">
        <v>130</v>
      </c>
      <c r="F42" s="2">
        <v>1468</v>
      </c>
    </row>
    <row r="43" spans="1:7" ht="15" customHeight="1">
      <c r="A43" s="39" t="s">
        <v>500</v>
      </c>
      <c r="B43" s="11" t="s">
        <v>203</v>
      </c>
      <c r="C43" s="43">
        <v>20166</v>
      </c>
      <c r="D43" s="43">
        <v>100832</v>
      </c>
      <c r="E43" s="44">
        <v>519</v>
      </c>
      <c r="F43" s="44">
        <v>173</v>
      </c>
    </row>
    <row r="44" spans="1:7" ht="15" customHeight="1">
      <c r="A44" s="39" t="s">
        <v>505</v>
      </c>
      <c r="B44" s="11" t="s">
        <v>34</v>
      </c>
      <c r="C44" s="43">
        <v>1279</v>
      </c>
      <c r="D44" s="43">
        <v>6396</v>
      </c>
      <c r="E44" s="44">
        <v>456</v>
      </c>
      <c r="F44" s="44">
        <v>152</v>
      </c>
    </row>
    <row r="45" spans="1:7" ht="15" customHeight="1">
      <c r="A45" s="39" t="s">
        <v>506</v>
      </c>
      <c r="B45" s="11" t="s">
        <v>507</v>
      </c>
      <c r="C45" s="69">
        <v>10147</v>
      </c>
      <c r="D45" s="71">
        <v>50736</v>
      </c>
      <c r="E45" s="72">
        <v>51</v>
      </c>
      <c r="F45" s="72">
        <v>450</v>
      </c>
    </row>
    <row r="46" spans="1:7" ht="15" customHeight="1">
      <c r="A46" s="39" t="s">
        <v>506</v>
      </c>
      <c r="B46" s="11" t="s">
        <v>494</v>
      </c>
    </row>
    <row r="47" spans="1:7" ht="15" customHeight="1">
      <c r="A47" s="39" t="s">
        <v>508</v>
      </c>
      <c r="B47" s="11" t="s">
        <v>257</v>
      </c>
    </row>
    <row r="48" spans="1:7" ht="15" customHeight="1">
      <c r="A48" t="s">
        <v>509</v>
      </c>
      <c r="B48" s="11" t="s">
        <v>497</v>
      </c>
    </row>
    <row r="49" spans="1:6" ht="15" customHeight="1">
      <c r="A49" t="s">
        <v>509</v>
      </c>
      <c r="B49" s="11" t="s">
        <v>510</v>
      </c>
    </row>
    <row r="50" spans="1:6" ht="15" customHeight="1">
      <c r="A50" t="s">
        <v>509</v>
      </c>
      <c r="B50" s="11" t="s">
        <v>511</v>
      </c>
    </row>
    <row r="51" spans="1:6" ht="15" customHeight="1">
      <c r="A51" t="s">
        <v>512</v>
      </c>
      <c r="B51" s="11" t="s">
        <v>6</v>
      </c>
      <c r="C51" s="45">
        <v>162857</v>
      </c>
      <c r="D51" s="45">
        <v>814287</v>
      </c>
      <c r="E51" s="46">
        <v>6114</v>
      </c>
      <c r="F51" s="46">
        <v>2038</v>
      </c>
    </row>
    <row r="52" spans="1:6" ht="15" customHeight="1">
      <c r="A52" t="s">
        <v>513</v>
      </c>
      <c r="B52" s="11" t="s">
        <v>507</v>
      </c>
      <c r="C52" s="69">
        <v>10147</v>
      </c>
      <c r="D52" s="71">
        <v>50736</v>
      </c>
      <c r="E52" s="72">
        <v>51</v>
      </c>
      <c r="F52" s="72">
        <v>450</v>
      </c>
    </row>
    <row r="53" spans="1:6" ht="15" customHeight="1">
      <c r="A53" t="s">
        <v>513</v>
      </c>
      <c r="B53" s="11" t="s">
        <v>514</v>
      </c>
      <c r="C53" s="69">
        <v>10147</v>
      </c>
      <c r="D53" s="71">
        <v>50736</v>
      </c>
      <c r="E53" s="72">
        <v>51</v>
      </c>
      <c r="F53" s="72">
        <v>450</v>
      </c>
    </row>
    <row r="54" spans="1:6" ht="15" customHeight="1">
      <c r="A54" t="s">
        <v>515</v>
      </c>
      <c r="B54" s="11" t="s">
        <v>468</v>
      </c>
    </row>
    <row r="55" spans="1:6" ht="15" customHeight="1">
      <c r="A55" t="s">
        <v>516</v>
      </c>
      <c r="B55" s="11" t="s">
        <v>223</v>
      </c>
      <c r="C55" s="41">
        <v>28999</v>
      </c>
      <c r="D55" s="47">
        <v>163000</v>
      </c>
      <c r="E55" s="41">
        <v>7104</v>
      </c>
      <c r="F55" s="41">
        <v>7104</v>
      </c>
    </row>
    <row r="56" spans="1:6" ht="15" customHeight="1">
      <c r="A56" s="39" t="s">
        <v>516</v>
      </c>
      <c r="B56" s="11" t="s">
        <v>517</v>
      </c>
      <c r="C56" s="41">
        <v>44504</v>
      </c>
      <c r="D56" s="41">
        <v>163000</v>
      </c>
      <c r="E56" s="53">
        <v>11455</v>
      </c>
      <c r="F56" s="44">
        <v>11455</v>
      </c>
    </row>
    <row r="57" spans="1:6" ht="15" customHeight="1">
      <c r="A57" s="3" t="s">
        <v>518</v>
      </c>
      <c r="B57" s="3" t="s">
        <v>507</v>
      </c>
      <c r="C57" s="69">
        <v>10147</v>
      </c>
      <c r="D57" s="71">
        <v>50736</v>
      </c>
      <c r="E57" s="72">
        <v>51</v>
      </c>
      <c r="F57" s="72">
        <v>450</v>
      </c>
    </row>
    <row r="58" spans="1:6" ht="15" customHeight="1">
      <c r="A58" s="115" t="s">
        <v>519</v>
      </c>
      <c r="B58" s="3" t="s">
        <v>5</v>
      </c>
      <c r="C58" s="45">
        <v>50000</v>
      </c>
      <c r="D58" s="45">
        <v>78000</v>
      </c>
      <c r="E58" s="46">
        <f>5469*3</f>
        <v>16407</v>
      </c>
      <c r="F58" s="46">
        <f>5469*3</f>
        <v>16407</v>
      </c>
    </row>
    <row r="59" spans="1:6">
      <c r="A59" s="77" t="s">
        <v>520</v>
      </c>
      <c r="B59" s="3" t="s">
        <v>255</v>
      </c>
    </row>
    <row r="60" spans="1:6">
      <c r="A60" s="77" t="s">
        <v>521</v>
      </c>
      <c r="B60" s="3" t="s">
        <v>24</v>
      </c>
      <c r="C60" s="75">
        <v>1678</v>
      </c>
      <c r="D60" s="75">
        <v>8390</v>
      </c>
      <c r="E60" s="76">
        <v>456</v>
      </c>
      <c r="F60" s="76">
        <v>152</v>
      </c>
    </row>
    <row r="61" spans="1:6">
      <c r="A61" s="77" t="s">
        <v>522</v>
      </c>
      <c r="B61" s="3" t="s">
        <v>264</v>
      </c>
    </row>
    <row r="62" spans="1:6">
      <c r="A62" s="77" t="s">
        <v>523</v>
      </c>
      <c r="B62" s="3" t="s">
        <v>524</v>
      </c>
    </row>
    <row r="63" spans="1:6" ht="31.5">
      <c r="A63" s="77" t="s">
        <v>525</v>
      </c>
      <c r="B63" s="3" t="s">
        <v>5</v>
      </c>
      <c r="C63" s="45">
        <v>50000</v>
      </c>
      <c r="D63" s="45">
        <v>78000</v>
      </c>
      <c r="E63" s="46">
        <f>5469*3</f>
        <v>16407</v>
      </c>
      <c r="F63" s="46">
        <f>5469*3</f>
        <v>16407</v>
      </c>
    </row>
    <row r="64" spans="1:6" ht="31.5">
      <c r="A64" s="77" t="s">
        <v>526</v>
      </c>
      <c r="B64" s="3" t="s">
        <v>527</v>
      </c>
    </row>
    <row r="65" spans="1:6" ht="31.5">
      <c r="A65" s="77" t="s">
        <v>528</v>
      </c>
      <c r="B65" s="3" t="s">
        <v>15</v>
      </c>
      <c r="C65" s="75">
        <v>95039</v>
      </c>
      <c r="D65" s="75">
        <v>245058</v>
      </c>
      <c r="E65" s="76">
        <v>4043</v>
      </c>
      <c r="F65" s="76">
        <v>4043</v>
      </c>
    </row>
    <row r="66" spans="1:6" ht="31.5">
      <c r="A66" s="3" t="s">
        <v>528</v>
      </c>
      <c r="B66" s="3" t="s">
        <v>529</v>
      </c>
    </row>
    <row r="67" spans="1:6" ht="31.5">
      <c r="A67" s="3" t="s">
        <v>528</v>
      </c>
      <c r="B67" s="3" t="s">
        <v>5</v>
      </c>
      <c r="C67" s="45">
        <v>50000</v>
      </c>
      <c r="D67" s="45">
        <v>78000</v>
      </c>
      <c r="E67" s="46">
        <f>5469*3</f>
        <v>16407</v>
      </c>
      <c r="F67" s="46">
        <f>5469*3</f>
        <v>16407</v>
      </c>
    </row>
    <row r="68" spans="1:6">
      <c r="A68" s="3" t="s">
        <v>60</v>
      </c>
      <c r="C68" s="1">
        <f>SUM(C2:C67)</f>
        <v>9177919</v>
      </c>
      <c r="D68" s="1">
        <f t="shared" ref="D68:F68" si="0">SUM(D2:D67)</f>
        <v>44497539</v>
      </c>
      <c r="E68" s="46">
        <f t="shared" si="0"/>
        <v>124586</v>
      </c>
      <c r="F68" s="46">
        <f t="shared" si="0"/>
        <v>126494</v>
      </c>
    </row>
  </sheetData>
  <hyperlinks>
    <hyperlink ref="A2" r:id="rId1" xr:uid="{2CD306C0-8559-3849-AA8A-2B2337FEB7A4}"/>
    <hyperlink ref="A3" r:id="rId2" xr:uid="{D4631C25-B147-BC4C-80D4-CE1E662903A2}"/>
    <hyperlink ref="A4" r:id="rId3" xr:uid="{C90DBE02-79F7-5A4B-BBF2-C2D2B60939D4}"/>
    <hyperlink ref="A5" r:id="rId4" xr:uid="{3DE31304-E503-384D-AC3B-90CE7F94FDDE}"/>
    <hyperlink ref="A6" r:id="rId5" xr:uid="{D6BEE203-525C-4444-85D6-ED143CAF0CBF}"/>
    <hyperlink ref="A7" r:id="rId6" xr:uid="{23E55B1D-2BC6-764A-B3CE-DD145EDA9162}"/>
    <hyperlink ref="A8" r:id="rId7" xr:uid="{C66F0C57-E2CE-0F4C-88AD-96A1905D69B1}"/>
    <hyperlink ref="A9" r:id="rId8" xr:uid="{E0EA066C-2C86-6B47-B3D2-867D4C4EC8DC}"/>
    <hyperlink ref="A10" r:id="rId9" xr:uid="{59155EFE-0D02-C24D-ACCC-D20DBC6C29F6}"/>
    <hyperlink ref="A11" r:id="rId10" xr:uid="{C36F517C-3729-D542-8213-52CA991BF853}"/>
    <hyperlink ref="A12" r:id="rId11" xr:uid="{3AFB1A1B-B083-AD4C-9C35-A24A1422262B}"/>
    <hyperlink ref="A13" r:id="rId12" xr:uid="{0A6DA4EB-4435-144B-B1E2-499F6870337B}"/>
    <hyperlink ref="A14" r:id="rId13" xr:uid="{914A7DD9-D59E-E54B-9018-E9D03EDF9C3C}"/>
    <hyperlink ref="A18" r:id="rId14" xr:uid="{5466226F-C505-9B41-9101-12F43BFFDFA3}"/>
    <hyperlink ref="A22" r:id="rId15" xr:uid="{C6FBC40C-3234-B845-B646-72185EB0B860}"/>
    <hyperlink ref="A19" r:id="rId16" xr:uid="{A969AC9B-9AED-8F47-90F8-66377562B10A}"/>
    <hyperlink ref="A23" r:id="rId17" xr:uid="{73B41CDF-21F6-4F48-A60A-C8833DF6CC19}"/>
    <hyperlink ref="A26" r:id="rId18" xr:uid="{3C16D02E-F705-4E42-BDAC-4B371A0619FC}"/>
    <hyperlink ref="A29" r:id="rId19" xr:uid="{CE1E7BC6-E22B-C143-93ED-4FA8FC863FF3}"/>
    <hyperlink ref="A31" r:id="rId20" xr:uid="{EA01F026-6D5D-1D4C-B4B4-BE1B3E8A1071}"/>
    <hyperlink ref="A32" r:id="rId21" xr:uid="{40F75837-E4A4-EB4B-A4C1-A9B56561E271}"/>
    <hyperlink ref="A34" r:id="rId22" xr:uid="{B2F300AD-DD88-EC47-8030-44C40933F072}"/>
    <hyperlink ref="A33" r:id="rId23" xr:uid="{F0AC51B0-8D73-894A-92AB-8E071384FDB8}"/>
    <hyperlink ref="A36" r:id="rId24" xr:uid="{DE1B01C2-8553-0241-BC0E-A2139A65BB54}"/>
    <hyperlink ref="A35" r:id="rId25" xr:uid="{5D17995F-8F1B-5448-B27B-399F15E65164}"/>
    <hyperlink ref="A37" r:id="rId26" xr:uid="{E58AEEEE-2149-F94C-A21D-98F1CF2D7BFD}"/>
    <hyperlink ref="A38" r:id="rId27" xr:uid="{D2A62780-61E5-1A4B-8469-CFAE8BDF1D21}"/>
    <hyperlink ref="A40" r:id="rId28" xr:uid="{19AAF25C-170C-2841-AEC7-BB4B29BDB731}"/>
    <hyperlink ref="A41" r:id="rId29" xr:uid="{EB619EE5-B243-7146-AE08-3F690E7B71D1}"/>
    <hyperlink ref="A42" r:id="rId30" xr:uid="{C6CF47F8-75F4-044C-8110-09A2832D9F4A}"/>
    <hyperlink ref="A43" r:id="rId31" xr:uid="{2B3E17C1-019C-984D-B7AB-0515F1B5659D}"/>
    <hyperlink ref="A44" r:id="rId32" xr:uid="{F462677F-2048-8845-8BC4-405E47DF698B}"/>
    <hyperlink ref="A45" r:id="rId33" xr:uid="{74D88530-042C-8C46-ADD0-91382125A65C}"/>
    <hyperlink ref="A46" r:id="rId34" xr:uid="{9AA95AB2-BCF8-814A-86BA-AE97026350AD}"/>
    <hyperlink ref="A47" r:id="rId35" xr:uid="{3D4EAB29-359A-C54E-AF68-02318DA32C3E}"/>
    <hyperlink ref="A56" r:id="rId36" xr:uid="{14BBEF82-D80C-CD47-9B0D-B9D571EE0137}"/>
    <hyperlink ref="A59" r:id="rId37" xr:uid="{D191B112-87C3-E742-9AC4-D4B360B2CF82}"/>
    <hyperlink ref="A60" r:id="rId38" xr:uid="{760C443A-5375-8146-BE94-19281B1C05C9}"/>
    <hyperlink ref="A61" r:id="rId39" xr:uid="{90937577-8EBD-1043-A45F-FC3D4A70B49C}"/>
    <hyperlink ref="A62" r:id="rId40" xr:uid="{BD4578E8-1F45-9F47-B49E-CD56E3B2CD45}"/>
    <hyperlink ref="A63" r:id="rId41" xr:uid="{C4DD856A-79C6-C848-936D-8A3147191C94}"/>
    <hyperlink ref="A64" r:id="rId42" xr:uid="{545A057B-F248-3246-9946-02FFC7B5D8C2}"/>
    <hyperlink ref="A65" r:id="rId43" xr:uid="{8690E423-E861-F648-A439-0C7DC7F6D31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103DC-8370-9443-ABD2-5451945977DC}">
  <dimension ref="A1:L13"/>
  <sheetViews>
    <sheetView workbookViewId="0">
      <selection activeCell="J10" sqref="J10"/>
    </sheetView>
  </sheetViews>
  <sheetFormatPr baseColWidth="10" defaultRowHeight="27.95" customHeight="1"/>
  <cols>
    <col min="1" max="1" width="12.125" bestFit="1" customWidth="1"/>
    <col min="2" max="2" width="12.875" bestFit="1" customWidth="1"/>
    <col min="3" max="3" width="11.125" bestFit="1" customWidth="1"/>
    <col min="4" max="4" width="16.125" bestFit="1" customWidth="1"/>
    <col min="5" max="5" width="11.375" bestFit="1" customWidth="1"/>
    <col min="6" max="6" width="16.375" bestFit="1" customWidth="1"/>
    <col min="7" max="7" width="11.375" bestFit="1" customWidth="1"/>
    <col min="8" max="8" width="14.625" bestFit="1" customWidth="1"/>
    <col min="9" max="9" width="12" bestFit="1" customWidth="1"/>
    <col min="10" max="10" width="17.375" customWidth="1"/>
  </cols>
  <sheetData>
    <row r="1" spans="1:12" ht="27.95" customHeight="1">
      <c r="A1" s="128" t="s">
        <v>458</v>
      </c>
      <c r="B1" s="129"/>
      <c r="C1" s="129"/>
      <c r="D1" s="129"/>
      <c r="E1" s="129"/>
      <c r="F1" s="129"/>
      <c r="G1" s="129"/>
      <c r="H1" s="129"/>
      <c r="I1" s="130"/>
      <c r="J1" s="100"/>
      <c r="K1" s="100"/>
      <c r="L1" s="101"/>
    </row>
    <row r="2" spans="1:12" ht="27.95" customHeight="1">
      <c r="A2" s="14" t="s">
        <v>41</v>
      </c>
      <c r="B2" s="15" t="s">
        <v>47</v>
      </c>
      <c r="C2" s="15" t="s">
        <v>43</v>
      </c>
      <c r="D2" s="15" t="s">
        <v>57</v>
      </c>
      <c r="E2" s="15" t="s">
        <v>43</v>
      </c>
      <c r="F2" s="15" t="s">
        <v>49</v>
      </c>
      <c r="G2" s="15" t="s">
        <v>43</v>
      </c>
      <c r="H2" s="15" t="s">
        <v>48</v>
      </c>
      <c r="I2" s="58" t="s">
        <v>43</v>
      </c>
      <c r="J2" s="101"/>
      <c r="K2" s="101"/>
      <c r="L2" s="101"/>
    </row>
    <row r="3" spans="1:12" ht="27.95" customHeight="1">
      <c r="A3" s="105" t="s">
        <v>46</v>
      </c>
      <c r="B3" s="107">
        <v>6604</v>
      </c>
      <c r="C3" s="109">
        <v>0.59789999999999999</v>
      </c>
      <c r="D3" s="107">
        <v>4106</v>
      </c>
      <c r="E3" s="109">
        <v>0.53959999999999997</v>
      </c>
      <c r="F3" s="107">
        <v>14283</v>
      </c>
      <c r="G3" s="109">
        <v>0.39169999999999999</v>
      </c>
      <c r="H3" s="111">
        <v>0.58599999999999997</v>
      </c>
      <c r="I3" s="106">
        <v>1.1299999999999999E-2</v>
      </c>
      <c r="J3" s="101"/>
      <c r="K3" s="101"/>
      <c r="L3" s="101"/>
    </row>
    <row r="4" spans="1:12" ht="27.95" customHeight="1">
      <c r="A4" s="112" t="s">
        <v>41</v>
      </c>
      <c r="B4" s="112" t="s">
        <v>51</v>
      </c>
      <c r="C4" s="112" t="s">
        <v>43</v>
      </c>
      <c r="D4" s="112" t="s">
        <v>58</v>
      </c>
      <c r="E4" s="112" t="s">
        <v>43</v>
      </c>
      <c r="F4" s="112" t="s">
        <v>49</v>
      </c>
      <c r="G4" s="112" t="s">
        <v>43</v>
      </c>
      <c r="H4" s="112" t="s">
        <v>44</v>
      </c>
      <c r="I4" s="112" t="s">
        <v>43</v>
      </c>
      <c r="J4" s="101"/>
      <c r="K4" s="101"/>
      <c r="L4" s="101"/>
    </row>
    <row r="5" spans="1:12" ht="27.95" customHeight="1" thickBot="1">
      <c r="A5" s="105" t="s">
        <v>50</v>
      </c>
      <c r="B5" s="105">
        <v>66</v>
      </c>
      <c r="C5" s="109">
        <f>(B5-38)/38</f>
        <v>0.73684210526315785</v>
      </c>
      <c r="D5" s="107">
        <f>'Junio 2018'!C68</f>
        <v>9177919</v>
      </c>
      <c r="E5" s="109">
        <f>(D5-1260736)/1260736</f>
        <v>6.2798103647393271</v>
      </c>
      <c r="F5" s="107">
        <f>'Junio 2018'!D68</f>
        <v>44497539</v>
      </c>
      <c r="G5" s="109">
        <f>(F5-'Marzo 2018'!D32)/'Marzo 2018'!D32</f>
        <v>6.3801234157564561</v>
      </c>
      <c r="H5" s="113">
        <f>'Junio 2018'!F68</f>
        <v>126494</v>
      </c>
      <c r="I5" s="109">
        <f>(H5-'Marzo 2018'!E32)/'Marzo 2018'!E32</f>
        <v>1.7906371337804448</v>
      </c>
      <c r="J5" s="101"/>
      <c r="K5" s="101"/>
      <c r="L5" s="101"/>
    </row>
    <row r="6" spans="1:12" ht="27.95" customHeight="1">
      <c r="A6" s="57" t="s">
        <v>41</v>
      </c>
      <c r="B6" s="15" t="s">
        <v>42</v>
      </c>
      <c r="C6" s="15" t="s">
        <v>43</v>
      </c>
      <c r="D6" s="15" t="s">
        <v>59</v>
      </c>
      <c r="E6" s="15" t="s">
        <v>43</v>
      </c>
      <c r="F6" s="15" t="s">
        <v>52</v>
      </c>
      <c r="G6" s="15" t="s">
        <v>43</v>
      </c>
      <c r="H6" s="15" t="s">
        <v>44</v>
      </c>
      <c r="I6" s="15" t="s">
        <v>43</v>
      </c>
      <c r="J6" s="102" t="s">
        <v>399</v>
      </c>
      <c r="K6" s="102" t="s">
        <v>398</v>
      </c>
      <c r="L6" s="103" t="s">
        <v>43</v>
      </c>
    </row>
    <row r="7" spans="1:12" ht="27.95" customHeight="1">
      <c r="A7" s="105" t="s">
        <v>53</v>
      </c>
      <c r="B7" s="105">
        <v>117</v>
      </c>
      <c r="C7" s="109">
        <f>(B7-99)/99</f>
        <v>0.18181818181818182</v>
      </c>
      <c r="D7" s="107">
        <v>88600</v>
      </c>
      <c r="E7" s="109">
        <f>(D7-49700)/49700</f>
        <v>0.78269617706237427</v>
      </c>
      <c r="F7" s="105">
        <f>195+207+336+5</f>
        <v>743</v>
      </c>
      <c r="G7" s="106">
        <f>(F7-793)/793</f>
        <v>-6.3051702395964693E-2</v>
      </c>
      <c r="H7" s="108">
        <f>1221+(F7*2)</f>
        <v>2707</v>
      </c>
      <c r="I7" s="109">
        <f>(H7-1345.08)/1345.08</f>
        <v>1.0125197014303984</v>
      </c>
      <c r="J7" s="105">
        <f>2094-2039</f>
        <v>55</v>
      </c>
      <c r="K7" s="105">
        <v>2090</v>
      </c>
      <c r="L7" s="109">
        <f>(K7-1951)/1951</f>
        <v>7.1245515120451047E-2</v>
      </c>
    </row>
    <row r="8" spans="1:12" ht="27.95" customHeight="1">
      <c r="A8" s="105" t="s">
        <v>54</v>
      </c>
      <c r="B8" s="105">
        <v>6</v>
      </c>
      <c r="C8" s="109">
        <f>(B8-6)/6</f>
        <v>0</v>
      </c>
      <c r="D8" s="107">
        <f>126+166+218+239+163+248</f>
        <v>1160</v>
      </c>
      <c r="E8" s="106">
        <f>(D8-2869)/2869</f>
        <v>-0.59567793656326251</v>
      </c>
      <c r="F8" s="105">
        <v>58</v>
      </c>
      <c r="G8" s="106">
        <f>(F8-81)/81</f>
        <v>-0.2839506172839506</v>
      </c>
      <c r="H8" s="108">
        <f>64.83+(F8*3)</f>
        <v>238.82999999999998</v>
      </c>
      <c r="I8" s="109">
        <f>(H8-183.57)/183.57</f>
        <v>0.30102957999673147</v>
      </c>
      <c r="J8" s="105">
        <v>13</v>
      </c>
      <c r="K8" s="105">
        <v>285</v>
      </c>
      <c r="L8" s="109">
        <f>((K8-(285-13))/(285-13))</f>
        <v>4.779411764705882E-2</v>
      </c>
    </row>
    <row r="9" spans="1:12" ht="27.95" customHeight="1">
      <c r="A9" s="105" t="s">
        <v>55</v>
      </c>
      <c r="B9" s="105">
        <v>1</v>
      </c>
      <c r="C9" s="106">
        <f>(B9-2)/2</f>
        <v>-0.5</v>
      </c>
      <c r="D9" s="105">
        <v>848</v>
      </c>
      <c r="E9" s="109">
        <v>0.44</v>
      </c>
      <c r="F9" s="105">
        <v>8</v>
      </c>
      <c r="G9" s="110">
        <f>(F9-8)/8</f>
        <v>0</v>
      </c>
      <c r="H9" s="108">
        <v>95.44</v>
      </c>
      <c r="I9" s="109">
        <f>(H9-16.78)/16.78</f>
        <v>4.6877234803337302</v>
      </c>
      <c r="J9" s="105">
        <v>0</v>
      </c>
      <c r="K9" s="105">
        <v>22</v>
      </c>
      <c r="L9" s="109">
        <v>0</v>
      </c>
    </row>
    <row r="10" spans="1:12" ht="27.95" customHeight="1">
      <c r="A10" s="105" t="s">
        <v>56</v>
      </c>
      <c r="B10" s="105">
        <v>13</v>
      </c>
      <c r="C10" s="109">
        <f>(B10-4)/4</f>
        <v>2.25</v>
      </c>
      <c r="D10" s="105">
        <v>573</v>
      </c>
      <c r="E10" s="109">
        <f>(D10-64)/64</f>
        <v>7.953125</v>
      </c>
      <c r="F10" s="105">
        <v>56</v>
      </c>
      <c r="G10" s="109">
        <f>56/34</f>
        <v>1.6470588235294117</v>
      </c>
      <c r="H10" s="108">
        <f>17.5+(56*2)</f>
        <v>129.5</v>
      </c>
      <c r="I10" s="109">
        <f>(H10-69.95)/69.95</f>
        <v>0.85132237312365966</v>
      </c>
      <c r="J10" s="105">
        <v>4</v>
      </c>
      <c r="K10" s="105">
        <v>4</v>
      </c>
      <c r="L10" s="109">
        <v>4</v>
      </c>
    </row>
    <row r="11" spans="1:12" ht="27.95" customHeight="1" thickBot="1">
      <c r="A11" s="63" t="s">
        <v>60</v>
      </c>
      <c r="B11" s="64">
        <f>SUM(B7:B10)</f>
        <v>137</v>
      </c>
      <c r="C11" s="65"/>
      <c r="D11" s="66">
        <f>SUM(D3+D5+D7+D8+D9+D10)</f>
        <v>9273206</v>
      </c>
      <c r="E11" s="65"/>
      <c r="F11" s="66">
        <f>SUM(F7:F10)</f>
        <v>865</v>
      </c>
      <c r="G11" s="65"/>
      <c r="H11" s="89">
        <f>SUM(H5+H7+H8+H9+H10)</f>
        <v>129664.77</v>
      </c>
      <c r="I11" s="67"/>
      <c r="J11" s="66">
        <f>SUM(J7:J10)</f>
        <v>72</v>
      </c>
      <c r="K11" s="66">
        <f>SUM(K7:K10)</f>
        <v>2401</v>
      </c>
      <c r="L11" s="104"/>
    </row>
    <row r="12" spans="1:12" ht="27.95" customHeight="1">
      <c r="A12" s="13"/>
      <c r="B12" s="13"/>
      <c r="C12" s="13"/>
      <c r="D12" s="13"/>
      <c r="E12" s="13"/>
      <c r="F12" s="13"/>
      <c r="G12" s="13"/>
      <c r="H12" s="13"/>
      <c r="I12" s="13"/>
    </row>
    <row r="13" spans="1:12" ht="27.95" customHeight="1">
      <c r="A13" s="13"/>
      <c r="B13" s="13"/>
      <c r="C13" s="13"/>
      <c r="D13" s="13"/>
      <c r="E13" s="13"/>
      <c r="F13" s="13"/>
      <c r="G13" s="13"/>
      <c r="H13" s="13"/>
      <c r="I13" s="13"/>
    </row>
  </sheetData>
  <mergeCells count="1">
    <mergeCell ref="A1:I1"/>
  </mergeCells>
  <pageMargins left="0.7" right="0.7" top="0.75" bottom="0.75" header="0.3" footer="0.3"/>
  <pageSetup paperSize="9" orientation="portrait" horizontalDpi="0" verticalDpi="0"/>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6"/>
  <sheetViews>
    <sheetView topLeftCell="A25" workbookViewId="0">
      <selection activeCell="C36" sqref="C36:F36"/>
    </sheetView>
  </sheetViews>
  <sheetFormatPr baseColWidth="10" defaultRowHeight="15.75"/>
  <cols>
    <col min="1" max="1" width="70.5" style="3" customWidth="1"/>
    <col min="2" max="2" width="23.625" style="3" customWidth="1"/>
    <col min="3" max="3" width="17" bestFit="1" customWidth="1"/>
    <col min="4" max="4" width="15.125" bestFit="1" customWidth="1"/>
    <col min="5" max="5" width="22.5" bestFit="1" customWidth="1"/>
    <col min="6" max="6" width="19.125" bestFit="1" customWidth="1"/>
  </cols>
  <sheetData>
    <row r="1" spans="1:13">
      <c r="A1" s="68" t="s">
        <v>10</v>
      </c>
      <c r="B1" s="68" t="s">
        <v>0</v>
      </c>
      <c r="C1" s="69" t="s">
        <v>1</v>
      </c>
      <c r="D1" s="69" t="s">
        <v>2</v>
      </c>
      <c r="E1" s="69" t="s">
        <v>3</v>
      </c>
      <c r="F1" s="69" t="s">
        <v>4</v>
      </c>
      <c r="G1" s="11"/>
      <c r="H1" s="11"/>
      <c r="I1" s="11"/>
      <c r="J1" s="11"/>
      <c r="K1" s="11"/>
      <c r="L1" s="11"/>
      <c r="M1" s="11"/>
    </row>
    <row r="2" spans="1:13">
      <c r="A2" s="70" t="s">
        <v>405</v>
      </c>
      <c r="B2" s="70" t="s">
        <v>406</v>
      </c>
      <c r="C2" s="75">
        <v>297800</v>
      </c>
      <c r="D2" s="75">
        <v>893400</v>
      </c>
      <c r="E2" s="76">
        <v>26431</v>
      </c>
      <c r="F2" s="76">
        <v>26431</v>
      </c>
      <c r="G2" s="11"/>
      <c r="H2" s="11"/>
      <c r="I2" s="11"/>
      <c r="J2" s="11"/>
      <c r="K2" s="11"/>
      <c r="L2" s="11"/>
      <c r="M2" s="11"/>
    </row>
    <row r="3" spans="1:13">
      <c r="A3" s="70" t="s">
        <v>407</v>
      </c>
      <c r="B3" s="70" t="s">
        <v>183</v>
      </c>
      <c r="C3" s="75">
        <v>38369</v>
      </c>
      <c r="D3" s="75">
        <v>82728</v>
      </c>
      <c r="E3" s="76">
        <v>4939</v>
      </c>
      <c r="F3" s="76">
        <v>4939</v>
      </c>
      <c r="G3" s="11"/>
      <c r="H3" s="11"/>
      <c r="I3" s="11"/>
      <c r="J3" s="11"/>
      <c r="K3" s="11"/>
      <c r="L3" s="11"/>
      <c r="M3" s="11"/>
    </row>
    <row r="4" spans="1:13">
      <c r="A4" s="70" t="s">
        <v>408</v>
      </c>
      <c r="B4" s="70" t="s">
        <v>183</v>
      </c>
      <c r="C4" s="75">
        <v>38369</v>
      </c>
      <c r="D4" s="75">
        <v>82728</v>
      </c>
      <c r="E4" s="76">
        <v>4939</v>
      </c>
      <c r="F4" s="76">
        <v>4939</v>
      </c>
      <c r="G4" s="11"/>
      <c r="H4" s="11"/>
      <c r="I4" s="11"/>
      <c r="J4" s="11"/>
      <c r="K4" s="11"/>
      <c r="L4" s="11"/>
      <c r="M4" s="11"/>
    </row>
    <row r="5" spans="1:13">
      <c r="A5" s="70" t="s">
        <v>409</v>
      </c>
      <c r="B5" s="70" t="s">
        <v>183</v>
      </c>
      <c r="C5" s="75">
        <v>38369</v>
      </c>
      <c r="D5" s="75">
        <v>82728</v>
      </c>
      <c r="E5" s="76">
        <v>4939</v>
      </c>
      <c r="F5" s="76">
        <v>4939</v>
      </c>
      <c r="G5" s="11"/>
      <c r="H5" s="11"/>
      <c r="I5" s="11"/>
      <c r="J5" s="11"/>
      <c r="K5" s="11"/>
      <c r="L5" s="11"/>
      <c r="M5" s="11"/>
    </row>
    <row r="6" spans="1:13">
      <c r="A6" s="70" t="s">
        <v>410</v>
      </c>
      <c r="B6" s="70" t="s">
        <v>183</v>
      </c>
      <c r="C6" s="75">
        <v>38369</v>
      </c>
      <c r="D6" s="75">
        <v>82728</v>
      </c>
      <c r="E6" s="76">
        <v>4939</v>
      </c>
      <c r="F6" s="76">
        <v>4939</v>
      </c>
      <c r="G6" s="11"/>
      <c r="H6" s="11"/>
      <c r="I6" s="11"/>
      <c r="J6" s="11"/>
      <c r="K6" s="11"/>
      <c r="L6" s="11"/>
      <c r="M6" s="11"/>
    </row>
    <row r="7" spans="1:13">
      <c r="A7" s="77" t="s">
        <v>401</v>
      </c>
      <c r="B7" s="70" t="s">
        <v>17</v>
      </c>
      <c r="C7" s="75">
        <v>2162</v>
      </c>
      <c r="D7" s="75">
        <v>10813</v>
      </c>
      <c r="E7" s="76">
        <v>666</v>
      </c>
      <c r="F7" s="76">
        <v>222</v>
      </c>
      <c r="G7" s="11"/>
      <c r="H7" s="11"/>
      <c r="I7" s="11"/>
      <c r="J7" s="11"/>
      <c r="K7" s="11"/>
      <c r="L7" s="11"/>
      <c r="M7" s="11"/>
    </row>
    <row r="8" spans="1:13">
      <c r="A8" s="70" t="s">
        <v>402</v>
      </c>
      <c r="B8" s="70" t="s">
        <v>113</v>
      </c>
      <c r="C8" s="75">
        <v>1833</v>
      </c>
      <c r="D8" s="75">
        <v>9165</v>
      </c>
      <c r="E8" s="76">
        <v>456</v>
      </c>
      <c r="F8" s="76">
        <v>152</v>
      </c>
      <c r="G8" s="11"/>
      <c r="H8" s="11"/>
      <c r="I8" s="11"/>
      <c r="J8" s="11"/>
      <c r="K8" s="11"/>
      <c r="L8" s="11"/>
      <c r="M8" s="11"/>
    </row>
    <row r="9" spans="1:13">
      <c r="A9" s="77" t="s">
        <v>403</v>
      </c>
      <c r="B9" s="70" t="s">
        <v>404</v>
      </c>
      <c r="C9" s="75">
        <v>523</v>
      </c>
      <c r="D9" s="75">
        <v>3356</v>
      </c>
      <c r="E9" s="76">
        <v>55</v>
      </c>
      <c r="F9" s="76">
        <v>168</v>
      </c>
      <c r="G9" s="11"/>
      <c r="H9" s="11"/>
      <c r="I9" s="11"/>
      <c r="J9" s="11"/>
      <c r="K9" s="11"/>
      <c r="L9" s="11"/>
      <c r="M9" s="11"/>
    </row>
    <row r="10" spans="1:13" ht="31.5">
      <c r="A10" s="77" t="s">
        <v>411</v>
      </c>
      <c r="B10" s="70" t="s">
        <v>24</v>
      </c>
      <c r="C10" s="75">
        <v>1678</v>
      </c>
      <c r="D10" s="75">
        <v>8390</v>
      </c>
      <c r="E10" s="76">
        <v>456</v>
      </c>
      <c r="F10" s="76">
        <v>152</v>
      </c>
      <c r="G10" s="11"/>
      <c r="H10" s="11"/>
      <c r="I10" s="11"/>
      <c r="J10" s="11"/>
      <c r="K10" s="11"/>
      <c r="L10" s="11"/>
      <c r="M10" s="11"/>
    </row>
    <row r="11" spans="1:13">
      <c r="A11" s="77" t="s">
        <v>412</v>
      </c>
      <c r="B11" s="70" t="s">
        <v>24</v>
      </c>
      <c r="C11" s="75">
        <v>1678</v>
      </c>
      <c r="D11" s="75">
        <v>8390</v>
      </c>
      <c r="E11" s="76">
        <v>456</v>
      </c>
      <c r="F11" s="76">
        <v>152</v>
      </c>
      <c r="G11" s="11"/>
      <c r="H11" s="11"/>
      <c r="I11" s="11"/>
      <c r="J11" s="11"/>
      <c r="K11" s="11"/>
      <c r="L11" s="11"/>
      <c r="M11" s="11"/>
    </row>
    <row r="12" spans="1:13">
      <c r="A12" s="77" t="s">
        <v>413</v>
      </c>
      <c r="B12" s="70" t="s">
        <v>24</v>
      </c>
      <c r="C12" s="75">
        <v>1678</v>
      </c>
      <c r="D12" s="75">
        <v>8390</v>
      </c>
      <c r="E12" s="76">
        <v>456</v>
      </c>
      <c r="F12" s="76">
        <v>152</v>
      </c>
      <c r="G12" s="11"/>
      <c r="H12" s="11"/>
      <c r="I12" s="11"/>
      <c r="J12" s="11"/>
      <c r="K12" s="11"/>
      <c r="L12" s="11"/>
      <c r="M12" s="11"/>
    </row>
    <row r="13" spans="1:13">
      <c r="A13" s="77" t="s">
        <v>414</v>
      </c>
      <c r="B13" s="70" t="s">
        <v>415</v>
      </c>
      <c r="C13" s="75">
        <v>441</v>
      </c>
      <c r="D13" s="75">
        <v>2830</v>
      </c>
      <c r="E13" s="76">
        <v>45</v>
      </c>
      <c r="F13" s="76">
        <v>165</v>
      </c>
      <c r="G13" s="11"/>
      <c r="H13" s="11"/>
      <c r="I13" s="11"/>
      <c r="J13" s="11"/>
      <c r="K13" s="11"/>
      <c r="L13" s="11"/>
      <c r="M13" s="11"/>
    </row>
    <row r="14" spans="1:13">
      <c r="A14" s="77" t="s">
        <v>416</v>
      </c>
      <c r="B14" s="70" t="s">
        <v>191</v>
      </c>
      <c r="C14" s="75">
        <v>441</v>
      </c>
      <c r="D14" s="75">
        <v>2830</v>
      </c>
      <c r="E14" s="76">
        <v>45</v>
      </c>
      <c r="F14" s="76">
        <v>165</v>
      </c>
      <c r="G14" s="11"/>
      <c r="H14" s="11"/>
      <c r="I14" s="11"/>
      <c r="J14" s="11"/>
      <c r="K14" s="11"/>
      <c r="L14" s="11"/>
      <c r="M14" s="11"/>
    </row>
    <row r="15" spans="1:13">
      <c r="A15" s="77" t="s">
        <v>417</v>
      </c>
      <c r="B15" s="70" t="s">
        <v>418</v>
      </c>
      <c r="C15" s="75">
        <v>698</v>
      </c>
      <c r="D15" s="75">
        <v>3492</v>
      </c>
      <c r="E15" s="76">
        <v>522</v>
      </c>
      <c r="F15" s="76">
        <v>174</v>
      </c>
      <c r="G15" s="11"/>
      <c r="H15" s="11"/>
      <c r="I15" s="11"/>
      <c r="J15" s="11"/>
      <c r="K15" s="11"/>
      <c r="L15" s="11"/>
      <c r="M15" s="11"/>
    </row>
    <row r="16" spans="1:13" ht="31.5">
      <c r="A16" s="70" t="s">
        <v>429</v>
      </c>
      <c r="B16" s="70" t="s">
        <v>113</v>
      </c>
      <c r="C16" s="75">
        <v>1833</v>
      </c>
      <c r="D16" s="75">
        <v>9165</v>
      </c>
      <c r="E16" s="76">
        <v>456</v>
      </c>
      <c r="F16" s="76">
        <v>152</v>
      </c>
      <c r="G16" s="11"/>
      <c r="H16" s="11"/>
      <c r="I16" s="11"/>
      <c r="J16" s="11"/>
      <c r="K16" s="11"/>
      <c r="L16" s="11"/>
      <c r="M16" s="11"/>
    </row>
    <row r="17" spans="1:13">
      <c r="A17" s="77" t="s">
        <v>419</v>
      </c>
      <c r="B17" s="70" t="s">
        <v>420</v>
      </c>
      <c r="C17" s="75">
        <v>365509</v>
      </c>
      <c r="D17" s="75">
        <v>1827548</v>
      </c>
      <c r="E17" s="76">
        <v>100</v>
      </c>
      <c r="F17" s="76">
        <v>2759</v>
      </c>
      <c r="G17" s="11"/>
      <c r="H17" s="11"/>
      <c r="I17" s="11"/>
      <c r="J17" s="11"/>
      <c r="K17" s="11"/>
      <c r="L17" s="11"/>
      <c r="M17" s="11"/>
    </row>
    <row r="18" spans="1:13">
      <c r="A18" s="77" t="s">
        <v>410</v>
      </c>
      <c r="B18" s="70" t="s">
        <v>29</v>
      </c>
      <c r="C18" s="75">
        <v>183704</v>
      </c>
      <c r="D18" s="75">
        <v>918524</v>
      </c>
      <c r="E18" s="76">
        <v>1023</v>
      </c>
      <c r="F18" s="76">
        <v>341</v>
      </c>
      <c r="G18" s="11"/>
      <c r="H18" s="11"/>
      <c r="I18" s="11"/>
      <c r="J18" s="11"/>
      <c r="K18" s="11"/>
      <c r="L18" s="11"/>
      <c r="M18" s="11"/>
    </row>
    <row r="19" spans="1:13">
      <c r="A19" s="77" t="s">
        <v>421</v>
      </c>
      <c r="B19" s="70" t="s">
        <v>29</v>
      </c>
      <c r="C19" s="75">
        <v>183704</v>
      </c>
      <c r="D19" s="75">
        <v>918524</v>
      </c>
      <c r="E19" s="76">
        <v>1023</v>
      </c>
      <c r="F19" s="76">
        <v>341</v>
      </c>
      <c r="G19" s="11"/>
      <c r="H19" s="11"/>
      <c r="I19" s="11"/>
      <c r="J19" s="11"/>
      <c r="K19" s="11"/>
      <c r="L19" s="11"/>
      <c r="M19" s="11"/>
    </row>
    <row r="20" spans="1:13">
      <c r="A20" s="77" t="s">
        <v>409</v>
      </c>
      <c r="B20" s="70" t="s">
        <v>29</v>
      </c>
      <c r="C20" s="75">
        <v>183704</v>
      </c>
      <c r="D20" s="75">
        <v>918524</v>
      </c>
      <c r="E20" s="76">
        <v>1023</v>
      </c>
      <c r="F20" s="76">
        <v>341</v>
      </c>
      <c r="G20" s="11"/>
      <c r="H20" s="11"/>
      <c r="I20" s="11"/>
      <c r="J20" s="11"/>
      <c r="K20" s="11"/>
      <c r="L20" s="11"/>
      <c r="M20" s="11"/>
    </row>
    <row r="21" spans="1:13">
      <c r="A21" s="77" t="s">
        <v>408</v>
      </c>
      <c r="B21" s="70" t="s">
        <v>29</v>
      </c>
      <c r="C21" s="75">
        <v>183704</v>
      </c>
      <c r="D21" s="75">
        <v>918524</v>
      </c>
      <c r="E21" s="76">
        <v>1023</v>
      </c>
      <c r="F21" s="76">
        <v>341</v>
      </c>
      <c r="G21" s="11"/>
      <c r="H21" s="11"/>
      <c r="I21" s="11"/>
      <c r="J21" s="11"/>
      <c r="K21" s="11"/>
      <c r="L21" s="11"/>
      <c r="M21" s="11"/>
    </row>
    <row r="22" spans="1:13">
      <c r="A22" s="77" t="s">
        <v>422</v>
      </c>
      <c r="B22" s="70" t="s">
        <v>423</v>
      </c>
      <c r="C22" s="75">
        <v>6740</v>
      </c>
      <c r="D22" s="75">
        <v>33702</v>
      </c>
      <c r="E22" s="76">
        <v>474</v>
      </c>
      <c r="F22" s="76">
        <v>158</v>
      </c>
      <c r="G22" s="11"/>
      <c r="H22" s="11"/>
      <c r="I22" s="11"/>
      <c r="J22" s="11"/>
      <c r="K22" s="11"/>
      <c r="L22" s="11"/>
      <c r="M22" s="11"/>
    </row>
    <row r="23" spans="1:13" ht="31.5">
      <c r="A23" s="77" t="s">
        <v>424</v>
      </c>
      <c r="B23" s="70" t="s">
        <v>34</v>
      </c>
      <c r="C23" s="43">
        <v>1279</v>
      </c>
      <c r="D23" s="43">
        <v>6396</v>
      </c>
      <c r="E23" s="44">
        <v>456</v>
      </c>
      <c r="F23" s="44">
        <v>152</v>
      </c>
      <c r="G23" s="11"/>
      <c r="H23" s="11"/>
      <c r="I23" s="11"/>
      <c r="J23" s="11"/>
      <c r="K23" s="11"/>
      <c r="L23" s="11"/>
      <c r="M23" s="11"/>
    </row>
    <row r="24" spans="1:13">
      <c r="A24" s="39" t="s">
        <v>425</v>
      </c>
      <c r="B24" s="70" t="s">
        <v>426</v>
      </c>
      <c r="C24" s="75">
        <v>698</v>
      </c>
      <c r="D24" s="75">
        <v>3492</v>
      </c>
      <c r="E24" s="76">
        <v>522</v>
      </c>
      <c r="F24" s="76">
        <v>174</v>
      </c>
      <c r="G24" s="11"/>
      <c r="H24" s="11"/>
      <c r="I24" s="11"/>
      <c r="J24" s="11"/>
      <c r="K24" s="11"/>
      <c r="L24" s="11"/>
      <c r="M24" s="11"/>
    </row>
    <row r="25" spans="1:13">
      <c r="A25" s="77" t="s">
        <v>425</v>
      </c>
      <c r="B25" s="70" t="s">
        <v>427</v>
      </c>
      <c r="C25" s="75">
        <v>698</v>
      </c>
      <c r="D25" s="75">
        <v>3492</v>
      </c>
      <c r="E25" s="76">
        <v>522</v>
      </c>
      <c r="F25" s="76">
        <v>174</v>
      </c>
      <c r="G25" s="11"/>
      <c r="H25" s="11"/>
      <c r="I25" s="11"/>
      <c r="J25" s="11"/>
      <c r="K25" s="11"/>
      <c r="L25" s="11"/>
      <c r="M25" s="11"/>
    </row>
    <row r="26" spans="1:13">
      <c r="A26" s="77" t="s">
        <v>428</v>
      </c>
      <c r="B26" s="70" t="s">
        <v>127</v>
      </c>
      <c r="C26" s="75">
        <v>1138</v>
      </c>
      <c r="D26" s="75">
        <v>5693</v>
      </c>
      <c r="E26" s="76">
        <v>567</v>
      </c>
      <c r="F26" s="76">
        <v>189</v>
      </c>
      <c r="G26" s="11"/>
      <c r="H26" s="11"/>
      <c r="I26" s="11"/>
      <c r="J26" s="11"/>
      <c r="K26" s="11"/>
      <c r="L26" s="11"/>
      <c r="M26" s="11"/>
    </row>
    <row r="27" spans="1:13" ht="31.5">
      <c r="A27" s="77" t="s">
        <v>430</v>
      </c>
      <c r="B27" s="70" t="s">
        <v>6</v>
      </c>
      <c r="C27" s="45">
        <v>162857</v>
      </c>
      <c r="D27" s="45">
        <v>814287</v>
      </c>
      <c r="E27" s="46">
        <v>6114</v>
      </c>
      <c r="F27" s="46">
        <v>2038</v>
      </c>
      <c r="G27" s="11"/>
      <c r="H27" s="11"/>
      <c r="I27" s="11"/>
      <c r="J27" s="11"/>
      <c r="K27" s="11"/>
      <c r="L27" s="11"/>
      <c r="M27" s="11"/>
    </row>
    <row r="28" spans="1:13">
      <c r="A28" s="77" t="s">
        <v>431</v>
      </c>
      <c r="B28" s="70" t="s">
        <v>24</v>
      </c>
      <c r="C28" s="75">
        <v>1678</v>
      </c>
      <c r="D28" s="75">
        <v>8390</v>
      </c>
      <c r="E28" s="76">
        <v>456</v>
      </c>
      <c r="F28" s="76">
        <v>152</v>
      </c>
      <c r="G28" s="11"/>
      <c r="H28" s="11"/>
      <c r="I28" s="11"/>
      <c r="J28" s="11"/>
      <c r="K28" s="11"/>
      <c r="L28" s="11"/>
      <c r="M28" s="11"/>
    </row>
    <row r="29" spans="1:13" ht="31.5">
      <c r="A29" s="77" t="s">
        <v>432</v>
      </c>
      <c r="B29" s="70" t="s">
        <v>121</v>
      </c>
      <c r="C29" s="75">
        <v>7369</v>
      </c>
      <c r="D29" s="75">
        <v>22107</v>
      </c>
      <c r="E29" s="76">
        <v>5410</v>
      </c>
      <c r="F29" s="76">
        <v>5410</v>
      </c>
      <c r="G29" s="11"/>
      <c r="H29" s="11"/>
      <c r="I29" s="11"/>
      <c r="J29" s="11"/>
      <c r="K29" s="11"/>
      <c r="L29" s="11"/>
      <c r="M29" s="11"/>
    </row>
    <row r="30" spans="1:13" ht="31.5">
      <c r="A30" s="77" t="s">
        <v>433</v>
      </c>
      <c r="B30" s="70" t="s">
        <v>107</v>
      </c>
      <c r="C30" s="43">
        <v>2552</v>
      </c>
      <c r="D30" s="43">
        <v>12761</v>
      </c>
      <c r="E30" s="44">
        <v>459</v>
      </c>
      <c r="F30" s="44">
        <v>153</v>
      </c>
      <c r="G30" s="11"/>
      <c r="H30" s="11"/>
      <c r="I30" s="11"/>
      <c r="J30" s="11"/>
      <c r="K30" s="11"/>
      <c r="L30" s="11"/>
      <c r="M30" s="11"/>
    </row>
    <row r="31" spans="1:13">
      <c r="A31" s="77" t="s">
        <v>434</v>
      </c>
      <c r="B31" s="70" t="s">
        <v>435</v>
      </c>
      <c r="C31" s="75">
        <v>698</v>
      </c>
      <c r="D31" s="75">
        <v>3492</v>
      </c>
      <c r="E31" s="76">
        <v>522</v>
      </c>
      <c r="F31" s="76">
        <v>174</v>
      </c>
      <c r="G31" s="11"/>
      <c r="H31" s="11"/>
      <c r="I31" s="11"/>
      <c r="J31" s="11"/>
      <c r="K31" s="11"/>
      <c r="L31" s="11"/>
      <c r="M31" s="11"/>
    </row>
    <row r="32" spans="1:13" ht="32.1" customHeight="1">
      <c r="A32" s="77" t="s">
        <v>437</v>
      </c>
      <c r="B32" s="70" t="s">
        <v>436</v>
      </c>
      <c r="C32" s="75">
        <v>698</v>
      </c>
      <c r="D32" s="75">
        <v>3492</v>
      </c>
      <c r="E32" s="76">
        <v>522</v>
      </c>
      <c r="F32" s="76">
        <v>174</v>
      </c>
      <c r="G32" s="11"/>
      <c r="H32" s="11"/>
      <c r="I32" s="11"/>
      <c r="J32" s="11"/>
      <c r="K32" s="11"/>
      <c r="L32" s="11"/>
      <c r="M32" s="11"/>
    </row>
    <row r="33" spans="1:13">
      <c r="A33" s="77" t="s">
        <v>438</v>
      </c>
      <c r="B33" s="70" t="s">
        <v>439</v>
      </c>
      <c r="C33" s="75">
        <v>698</v>
      </c>
      <c r="D33" s="75">
        <v>3492</v>
      </c>
      <c r="E33" s="76">
        <v>522</v>
      </c>
      <c r="F33" s="76">
        <v>174</v>
      </c>
      <c r="G33" s="11"/>
      <c r="H33" s="11"/>
      <c r="I33" s="11"/>
      <c r="J33" s="11"/>
      <c r="K33" s="11"/>
      <c r="L33" s="11"/>
      <c r="M33" s="11"/>
    </row>
    <row r="34" spans="1:13">
      <c r="A34" s="77" t="s">
        <v>440</v>
      </c>
      <c r="B34" s="70" t="s">
        <v>187</v>
      </c>
      <c r="C34" s="43">
        <v>2037</v>
      </c>
      <c r="D34" s="43">
        <v>10188</v>
      </c>
      <c r="E34" s="44">
        <v>456</v>
      </c>
      <c r="F34" s="44">
        <v>152</v>
      </c>
      <c r="G34" s="11"/>
      <c r="H34" s="11"/>
      <c r="I34" s="11"/>
      <c r="J34" s="11"/>
      <c r="K34" s="11"/>
      <c r="L34" s="11"/>
      <c r="M34" s="11"/>
    </row>
    <row r="35" spans="1:13">
      <c r="A35" s="39" t="s">
        <v>440</v>
      </c>
      <c r="B35" s="70" t="s">
        <v>441</v>
      </c>
      <c r="C35" s="75">
        <v>45785</v>
      </c>
      <c r="D35" s="75">
        <v>228929</v>
      </c>
      <c r="E35" s="76">
        <v>603</v>
      </c>
      <c r="F35" s="76">
        <v>201</v>
      </c>
      <c r="G35" s="11"/>
      <c r="H35" s="11"/>
      <c r="I35" s="11"/>
      <c r="J35" s="11"/>
      <c r="K35" s="11"/>
      <c r="L35" s="11"/>
      <c r="M35" s="11"/>
    </row>
    <row r="36" spans="1:13" ht="31.5">
      <c r="A36" s="77" t="s">
        <v>396</v>
      </c>
      <c r="B36" s="70" t="s">
        <v>15</v>
      </c>
      <c r="C36" s="75">
        <v>95039</v>
      </c>
      <c r="D36" s="75">
        <v>245058</v>
      </c>
      <c r="E36" s="76">
        <v>4043</v>
      </c>
      <c r="F36" s="76">
        <v>4043</v>
      </c>
      <c r="G36" s="11"/>
      <c r="H36" s="11"/>
      <c r="I36" s="11"/>
      <c r="J36" s="11"/>
      <c r="K36" s="11"/>
      <c r="L36" s="11"/>
      <c r="M36" s="11"/>
    </row>
    <row r="37" spans="1:13" ht="18.75">
      <c r="A37" s="70"/>
      <c r="B37" s="70"/>
      <c r="C37" s="79">
        <f>SUM(C2:C36)</f>
        <v>1894530</v>
      </c>
      <c r="D37" s="79">
        <f t="shared" ref="D37:F37" si="0">SUM(D2:D36)</f>
        <v>8197748</v>
      </c>
      <c r="E37" s="83">
        <f t="shared" si="0"/>
        <v>75640</v>
      </c>
      <c r="F37" s="83">
        <f t="shared" si="0"/>
        <v>65482</v>
      </c>
      <c r="G37" s="11"/>
      <c r="H37" s="11"/>
      <c r="I37" s="11"/>
      <c r="J37" s="11"/>
      <c r="K37" s="11"/>
      <c r="L37" s="11"/>
      <c r="M37" s="11"/>
    </row>
    <row r="38" spans="1:13">
      <c r="D38">
        <v>49700</v>
      </c>
      <c r="E38">
        <f>(D38*E37)/D37</f>
        <v>458.57813633695497</v>
      </c>
    </row>
    <row r="39" spans="1:13">
      <c r="E39">
        <f>793*2</f>
        <v>1586</v>
      </c>
    </row>
    <row r="40" spans="1:13">
      <c r="E40">
        <f>SUM(E38:E39)</f>
        <v>2044.5781363369549</v>
      </c>
    </row>
    <row r="41" spans="1:13" ht="15" customHeight="1">
      <c r="D41">
        <v>3541</v>
      </c>
      <c r="E41">
        <f>(D41*E37)/D37</f>
        <v>32.672538848473998</v>
      </c>
    </row>
    <row r="42" spans="1:13" ht="15" customHeight="1">
      <c r="E42">
        <v>200</v>
      </c>
    </row>
    <row r="43" spans="1:13" ht="15" customHeight="1">
      <c r="D43">
        <v>373</v>
      </c>
      <c r="E43">
        <f>(D43*E37)/D37</f>
        <v>3.4416427535952558</v>
      </c>
    </row>
    <row r="44" spans="1:13" ht="15" customHeight="1">
      <c r="E44">
        <v>16</v>
      </c>
    </row>
    <row r="45" spans="1:13" ht="15" customHeight="1">
      <c r="D45">
        <v>53</v>
      </c>
      <c r="E45">
        <f>(D45*E37)/D37</f>
        <v>0.48902698643578701</v>
      </c>
    </row>
    <row r="46" spans="1:13" ht="15" customHeight="1"/>
    <row r="47" spans="1:13" ht="15" customHeight="1"/>
    <row r="48" spans="1:13" ht="15" customHeight="1"/>
    <row r="49" ht="15" customHeight="1"/>
    <row r="50" ht="15" customHeight="1"/>
    <row r="51" ht="15" customHeight="1"/>
    <row r="52" ht="15" customHeight="1"/>
    <row r="53" ht="15" customHeight="1"/>
    <row r="54" ht="15" customHeight="1"/>
    <row r="55" ht="15" customHeight="1"/>
    <row r="56" ht="15" customHeight="1"/>
  </sheetData>
  <hyperlinks>
    <hyperlink ref="A7" r:id="rId1" xr:uid="{00000000-0004-0000-0000-000000000000}"/>
    <hyperlink ref="A9" r:id="rId2" xr:uid="{00000000-0004-0000-0000-000001000000}"/>
    <hyperlink ref="A10" r:id="rId3" xr:uid="{00000000-0004-0000-0000-000002000000}"/>
    <hyperlink ref="A11" r:id="rId4" xr:uid="{00000000-0004-0000-0000-000003000000}"/>
    <hyperlink ref="A12" r:id="rId5" xr:uid="{00000000-0004-0000-0000-000004000000}"/>
    <hyperlink ref="A13" r:id="rId6" xr:uid="{00000000-0004-0000-0000-000005000000}"/>
    <hyperlink ref="A14" r:id="rId7" xr:uid="{00000000-0004-0000-0000-000006000000}"/>
    <hyperlink ref="A17" r:id="rId8" xr:uid="{00000000-0004-0000-0000-000007000000}"/>
    <hyperlink ref="A18" r:id="rId9" xr:uid="{00000000-0004-0000-0000-000008000000}"/>
    <hyperlink ref="A19" r:id="rId10" xr:uid="{00000000-0004-0000-0000-000009000000}"/>
    <hyperlink ref="A20" r:id="rId11" xr:uid="{00000000-0004-0000-0000-00000A000000}"/>
    <hyperlink ref="A21" r:id="rId12" xr:uid="{00000000-0004-0000-0000-00000B000000}"/>
    <hyperlink ref="A22" r:id="rId13" xr:uid="{00000000-0004-0000-0000-00000C000000}"/>
    <hyperlink ref="A23" r:id="rId14" xr:uid="{00000000-0004-0000-0000-00000D000000}"/>
    <hyperlink ref="A24" r:id="rId15" xr:uid="{00000000-0004-0000-0000-00000E000000}"/>
    <hyperlink ref="A26" r:id="rId16" xr:uid="{00000000-0004-0000-0000-00000F000000}"/>
    <hyperlink ref="A27" r:id="rId17" xr:uid="{00000000-0004-0000-0000-000010000000}"/>
    <hyperlink ref="A29" r:id="rId18" xr:uid="{00000000-0004-0000-0000-000011000000}"/>
    <hyperlink ref="A31" r:id="rId19" xr:uid="{00000000-0004-0000-0000-000012000000}"/>
    <hyperlink ref="A32" r:id="rId20" display="Lanzarote.- La Reserva de la Biosfera organiza dos charlas sobre políticas empresariales basadas en los Objetivos de Desarrollo Sostenible de la ONU y" xr:uid="{00000000-0004-0000-0000-000013000000}"/>
    <hyperlink ref="A33" r:id="rId21" xr:uid="{00000000-0004-0000-0000-000014000000}"/>
    <hyperlink ref="A35" r:id="rId22" xr:uid="{00000000-0004-0000-0000-000015000000}"/>
    <hyperlink ref="A34" r:id="rId23" xr:uid="{00000000-0004-0000-0000-000016000000}"/>
    <hyperlink ref="A36" r:id="rId24" xr:uid="{00000000-0004-0000-0000-000017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
  <sheetViews>
    <sheetView workbookViewId="0">
      <selection activeCell="E15" sqref="E15"/>
    </sheetView>
  </sheetViews>
  <sheetFormatPr baseColWidth="10" defaultRowHeight="15.75"/>
  <sheetData>
    <row r="1" spans="1:9">
      <c r="A1" s="39" t="s">
        <v>442</v>
      </c>
      <c r="B1" s="131" t="s">
        <v>443</v>
      </c>
      <c r="C1" s="131" t="s">
        <v>40</v>
      </c>
      <c r="D1" s="131">
        <v>308</v>
      </c>
      <c r="E1" s="131">
        <v>10</v>
      </c>
      <c r="F1" s="131" t="s">
        <v>40</v>
      </c>
      <c r="G1" s="131" t="s">
        <v>444</v>
      </c>
      <c r="H1" s="131">
        <v>6</v>
      </c>
      <c r="I1" s="131" t="s">
        <v>445</v>
      </c>
    </row>
    <row r="2" spans="1:9">
      <c r="A2" s="40" t="s">
        <v>65</v>
      </c>
      <c r="B2" s="131"/>
      <c r="C2" s="131"/>
      <c r="D2" s="131"/>
      <c r="E2" s="131"/>
      <c r="F2" s="131"/>
      <c r="G2" s="131"/>
      <c r="H2" s="131"/>
      <c r="I2" s="131"/>
    </row>
    <row r="3" spans="1:9">
      <c r="A3" s="39" t="s">
        <v>446</v>
      </c>
      <c r="B3" s="131" t="s">
        <v>447</v>
      </c>
      <c r="C3" s="131" t="s">
        <v>40</v>
      </c>
      <c r="D3" s="133">
        <v>1047</v>
      </c>
      <c r="E3" s="131">
        <v>37</v>
      </c>
      <c r="F3" s="131" t="s">
        <v>40</v>
      </c>
      <c r="G3" s="131" t="s">
        <v>448</v>
      </c>
      <c r="H3" s="131">
        <v>19</v>
      </c>
      <c r="I3" s="131" t="s">
        <v>449</v>
      </c>
    </row>
    <row r="4" spans="1:9">
      <c r="A4" s="40" t="s">
        <v>65</v>
      </c>
      <c r="B4" s="131"/>
      <c r="C4" s="131"/>
      <c r="D4" s="131"/>
      <c r="E4" s="131"/>
      <c r="F4" s="131"/>
      <c r="G4" s="131"/>
      <c r="H4" s="131"/>
      <c r="I4" s="131"/>
    </row>
    <row r="5" spans="1:9">
      <c r="A5" s="39" t="s">
        <v>450</v>
      </c>
      <c r="B5" s="131" t="s">
        <v>447</v>
      </c>
      <c r="C5" s="131" t="s">
        <v>40</v>
      </c>
      <c r="D5" s="131">
        <v>146</v>
      </c>
      <c r="E5" s="131">
        <v>5</v>
      </c>
      <c r="F5" s="131" t="s">
        <v>40</v>
      </c>
      <c r="G5" s="131" t="s">
        <v>451</v>
      </c>
      <c r="H5" s="131">
        <v>2</v>
      </c>
      <c r="I5" s="131" t="s">
        <v>452</v>
      </c>
    </row>
    <row r="6" spans="1:9">
      <c r="A6" s="40" t="s">
        <v>65</v>
      </c>
      <c r="B6" s="131"/>
      <c r="C6" s="131"/>
      <c r="D6" s="131"/>
      <c r="E6" s="131"/>
      <c r="F6" s="131"/>
      <c r="G6" s="131"/>
      <c r="H6" s="131"/>
      <c r="I6" s="131"/>
    </row>
    <row r="7" spans="1:9">
      <c r="A7" s="39" t="s">
        <v>453</v>
      </c>
      <c r="B7" s="132">
        <v>43377</v>
      </c>
      <c r="C7" s="131" t="s">
        <v>40</v>
      </c>
      <c r="D7" s="131">
        <v>185</v>
      </c>
      <c r="E7" s="131">
        <v>3</v>
      </c>
      <c r="F7" s="131" t="s">
        <v>40</v>
      </c>
      <c r="G7" s="131" t="s">
        <v>454</v>
      </c>
      <c r="H7" s="131">
        <v>1</v>
      </c>
      <c r="I7" s="131" t="s">
        <v>455</v>
      </c>
    </row>
    <row r="8" spans="1:9">
      <c r="A8" s="40" t="s">
        <v>65</v>
      </c>
      <c r="B8" s="132"/>
      <c r="C8" s="131"/>
      <c r="D8" s="131"/>
      <c r="E8" s="131"/>
      <c r="F8" s="131"/>
      <c r="G8" s="131"/>
      <c r="H8" s="131"/>
      <c r="I8" s="131"/>
    </row>
    <row r="9" spans="1:9">
      <c r="A9" s="39" t="s">
        <v>432</v>
      </c>
      <c r="B9" s="132">
        <v>43255</v>
      </c>
      <c r="C9" s="131" t="s">
        <v>40</v>
      </c>
      <c r="D9" s="131">
        <v>315</v>
      </c>
      <c r="E9" s="131">
        <v>4</v>
      </c>
      <c r="F9" s="131" t="s">
        <v>40</v>
      </c>
      <c r="G9" s="131" t="s">
        <v>456</v>
      </c>
      <c r="H9" s="131">
        <v>4</v>
      </c>
      <c r="I9" s="131" t="s">
        <v>457</v>
      </c>
    </row>
    <row r="10" spans="1:9">
      <c r="A10" s="40" t="s">
        <v>65</v>
      </c>
      <c r="B10" s="132"/>
      <c r="C10" s="131"/>
      <c r="D10" s="131"/>
      <c r="E10" s="131"/>
      <c r="F10" s="131"/>
      <c r="G10" s="131"/>
      <c r="H10" s="131"/>
      <c r="I10" s="131"/>
    </row>
    <row r="11" spans="1:9">
      <c r="A11" s="39" t="s">
        <v>396</v>
      </c>
      <c r="B11" s="132">
        <v>43104</v>
      </c>
      <c r="C11" s="131" t="s">
        <v>40</v>
      </c>
      <c r="D11" s="133">
        <v>1540</v>
      </c>
    </row>
    <row r="12" spans="1:9" ht="18">
      <c r="A12" s="40" t="s">
        <v>65</v>
      </c>
      <c r="B12" s="132"/>
      <c r="C12" s="131"/>
      <c r="D12" s="131"/>
      <c r="E12" s="98">
        <v>41</v>
      </c>
    </row>
    <row r="13" spans="1:9">
      <c r="D13">
        <f>SUM(D1:D12)</f>
        <v>3541</v>
      </c>
      <c r="E13">
        <f>SUM(E1:E12)</f>
        <v>100</v>
      </c>
    </row>
  </sheetData>
  <mergeCells count="43">
    <mergeCell ref="H1:H2"/>
    <mergeCell ref="I1:I2"/>
    <mergeCell ref="B3:B4"/>
    <mergeCell ref="C3:C4"/>
    <mergeCell ref="D3:D4"/>
    <mergeCell ref="E3:E4"/>
    <mergeCell ref="F3:F4"/>
    <mergeCell ref="G3:G4"/>
    <mergeCell ref="H3:H4"/>
    <mergeCell ref="I3:I4"/>
    <mergeCell ref="B1:B2"/>
    <mergeCell ref="C1:C2"/>
    <mergeCell ref="D1:D2"/>
    <mergeCell ref="E1:E2"/>
    <mergeCell ref="F1:F2"/>
    <mergeCell ref="G1:G2"/>
    <mergeCell ref="H5:H6"/>
    <mergeCell ref="I5:I6"/>
    <mergeCell ref="B7:B8"/>
    <mergeCell ref="C7:C8"/>
    <mergeCell ref="D7:D8"/>
    <mergeCell ref="E7:E8"/>
    <mergeCell ref="F7:F8"/>
    <mergeCell ref="G7:G8"/>
    <mergeCell ref="H7:H8"/>
    <mergeCell ref="I7:I8"/>
    <mergeCell ref="B5:B6"/>
    <mergeCell ref="C5:C6"/>
    <mergeCell ref="D5:D6"/>
    <mergeCell ref="E5:E6"/>
    <mergeCell ref="F5:F6"/>
    <mergeCell ref="G5:G6"/>
    <mergeCell ref="H9:H10"/>
    <mergeCell ref="I9:I10"/>
    <mergeCell ref="B11:B12"/>
    <mergeCell ref="C11:C12"/>
    <mergeCell ref="D11:D12"/>
    <mergeCell ref="B9:B10"/>
    <mergeCell ref="C9:C10"/>
    <mergeCell ref="D9:D10"/>
    <mergeCell ref="E9:E10"/>
    <mergeCell ref="F9:F10"/>
    <mergeCell ref="G9:G10"/>
  </mergeCells>
  <hyperlinks>
    <hyperlink ref="A1" r:id="rId1" xr:uid="{00000000-0004-0000-0100-000000000000}"/>
    <hyperlink ref="A3" r:id="rId2" xr:uid="{00000000-0004-0000-0100-000001000000}"/>
    <hyperlink ref="A5" r:id="rId3" xr:uid="{00000000-0004-0000-0100-000002000000}"/>
    <hyperlink ref="A7" r:id="rId4" xr:uid="{00000000-0004-0000-0100-000003000000}"/>
    <hyperlink ref="A9" r:id="rId5" xr:uid="{00000000-0004-0000-0100-000004000000}"/>
    <hyperlink ref="A11" r:id="rId6" xr:uid="{00000000-0004-0000-0100-000005000000}"/>
  </hyperlinks>
  <pageMargins left="0.75" right="0.75" top="1" bottom="1" header="0.5" footer="0.5"/>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3"/>
  <sheetViews>
    <sheetView workbookViewId="0">
      <selection sqref="A1:XFD1048576"/>
    </sheetView>
  </sheetViews>
  <sheetFormatPr baseColWidth="10" defaultRowHeight="27.95" customHeight="1"/>
  <cols>
    <col min="1" max="1" width="12.125" bestFit="1" customWidth="1"/>
    <col min="2" max="2" width="12.875" bestFit="1" customWidth="1"/>
    <col min="3" max="3" width="11.125" bestFit="1" customWidth="1"/>
    <col min="4" max="4" width="16.125" bestFit="1" customWidth="1"/>
    <col min="5" max="5" width="11.375" bestFit="1" customWidth="1"/>
    <col min="6" max="6" width="16.375" bestFit="1" customWidth="1"/>
    <col min="7" max="7" width="11.375" bestFit="1" customWidth="1"/>
    <col min="8" max="8" width="14.625" bestFit="1" customWidth="1"/>
    <col min="9" max="9" width="11.375" bestFit="1" customWidth="1"/>
    <col min="10" max="10" width="17.375" customWidth="1"/>
  </cols>
  <sheetData>
    <row r="1" spans="1:13" ht="27.95" customHeight="1">
      <c r="A1" s="128" t="s">
        <v>400</v>
      </c>
      <c r="B1" s="129"/>
      <c r="C1" s="129"/>
      <c r="D1" s="129"/>
      <c r="E1" s="129"/>
      <c r="F1" s="129"/>
      <c r="G1" s="129"/>
      <c r="H1" s="129"/>
      <c r="I1" s="130"/>
      <c r="J1" s="100"/>
      <c r="K1" s="100"/>
      <c r="L1" s="101"/>
    </row>
    <row r="2" spans="1:13" ht="27.95" customHeight="1">
      <c r="A2" s="14" t="s">
        <v>41</v>
      </c>
      <c r="B2" s="15" t="s">
        <v>47</v>
      </c>
      <c r="C2" s="15" t="s">
        <v>43</v>
      </c>
      <c r="D2" s="15" t="s">
        <v>57</v>
      </c>
      <c r="E2" s="15" t="s">
        <v>43</v>
      </c>
      <c r="F2" s="15" t="s">
        <v>49</v>
      </c>
      <c r="G2" s="15" t="s">
        <v>43</v>
      </c>
      <c r="H2" s="15" t="s">
        <v>48</v>
      </c>
      <c r="I2" s="58" t="s">
        <v>43</v>
      </c>
      <c r="J2" s="101"/>
      <c r="K2" s="101"/>
      <c r="L2" s="101"/>
    </row>
    <row r="3" spans="1:13" ht="27.95" customHeight="1">
      <c r="A3" s="105" t="s">
        <v>46</v>
      </c>
      <c r="B3" s="107">
        <v>1845</v>
      </c>
      <c r="C3" s="106">
        <v>-0.19359999999999999</v>
      </c>
      <c r="D3" s="107">
        <v>1292</v>
      </c>
      <c r="E3" s="106">
        <v>-0.14149999999999999</v>
      </c>
      <c r="F3" s="107">
        <v>4673</v>
      </c>
      <c r="G3" s="106">
        <v>-0.16400000000000001</v>
      </c>
      <c r="H3" s="111">
        <v>0.5675</v>
      </c>
      <c r="I3" s="109">
        <v>-3.6799999999999999E-2</v>
      </c>
      <c r="J3" s="101"/>
      <c r="K3" s="101"/>
      <c r="L3" s="101"/>
    </row>
    <row r="4" spans="1:13" ht="27.95" customHeight="1">
      <c r="A4" s="112" t="s">
        <v>41</v>
      </c>
      <c r="B4" s="112" t="s">
        <v>51</v>
      </c>
      <c r="C4" s="112" t="s">
        <v>43</v>
      </c>
      <c r="D4" s="112" t="s">
        <v>58</v>
      </c>
      <c r="E4" s="112" t="s">
        <v>43</v>
      </c>
      <c r="F4" s="112" t="s">
        <v>49</v>
      </c>
      <c r="G4" s="112" t="s">
        <v>43</v>
      </c>
      <c r="H4" s="112" t="s">
        <v>44</v>
      </c>
      <c r="I4" s="112" t="s">
        <v>43</v>
      </c>
      <c r="J4" s="101"/>
      <c r="K4" s="101"/>
      <c r="L4" s="101"/>
    </row>
    <row r="5" spans="1:13" ht="27.95" customHeight="1" thickBot="1">
      <c r="A5" s="105" t="s">
        <v>50</v>
      </c>
      <c r="B5" s="105">
        <v>38</v>
      </c>
      <c r="C5" s="110">
        <f>(B5-38)/38</f>
        <v>0</v>
      </c>
      <c r="D5" s="107">
        <f>'Abril 2018'!C37</f>
        <v>1894530</v>
      </c>
      <c r="E5" s="109">
        <f>(D5-1260736)/1260736</f>
        <v>0.50271746027717146</v>
      </c>
      <c r="F5" s="107">
        <f>'Abril 2018'!D37</f>
        <v>8197748</v>
      </c>
      <c r="G5" s="109">
        <f>(F5-'Marzo 2018'!D32)/'Marzo 2018'!D32</f>
        <v>0.3596345625152586</v>
      </c>
      <c r="H5" s="113">
        <f>'Abril 2018'!E37</f>
        <v>75640</v>
      </c>
      <c r="I5" s="109">
        <f>(H5-'Marzo 2018'!E32)/'Marzo 2018'!E32</f>
        <v>0.66872573243911049</v>
      </c>
      <c r="J5" s="101"/>
      <c r="K5" s="101"/>
      <c r="L5" s="101"/>
    </row>
    <row r="6" spans="1:13" ht="27.95" customHeight="1">
      <c r="A6" s="57" t="s">
        <v>41</v>
      </c>
      <c r="B6" s="15" t="s">
        <v>42</v>
      </c>
      <c r="C6" s="15" t="s">
        <v>43</v>
      </c>
      <c r="D6" s="15" t="s">
        <v>59</v>
      </c>
      <c r="E6" s="15" t="s">
        <v>43</v>
      </c>
      <c r="F6" s="15" t="s">
        <v>52</v>
      </c>
      <c r="G6" s="15" t="s">
        <v>43</v>
      </c>
      <c r="H6" s="15" t="s">
        <v>44</v>
      </c>
      <c r="I6" s="15" t="s">
        <v>43</v>
      </c>
      <c r="J6" s="102" t="s">
        <v>399</v>
      </c>
      <c r="K6" s="102" t="s">
        <v>398</v>
      </c>
      <c r="L6" s="103" t="s">
        <v>43</v>
      </c>
    </row>
    <row r="7" spans="1:13" ht="27.95" customHeight="1">
      <c r="A7" s="105" t="s">
        <v>53</v>
      </c>
      <c r="B7" s="105">
        <v>118</v>
      </c>
      <c r="C7" s="109">
        <f>(B7-99)/99</f>
        <v>0.19191919191919191</v>
      </c>
      <c r="D7" s="107">
        <v>49700</v>
      </c>
      <c r="E7" s="109">
        <f>(D7-46700)/46700</f>
        <v>6.4239828693790149E-2</v>
      </c>
      <c r="F7" s="105">
        <v>793</v>
      </c>
      <c r="G7" s="109">
        <f>(F7-497)/497</f>
        <v>0.59557344064386319</v>
      </c>
      <c r="H7" s="108">
        <v>2044.58</v>
      </c>
      <c r="I7" s="109">
        <f>(H7-1345.08)/1345.08</f>
        <v>0.52004341749189642</v>
      </c>
      <c r="J7" s="105">
        <v>36</v>
      </c>
      <c r="K7" s="105">
        <v>1987</v>
      </c>
      <c r="L7" s="109">
        <f>(K7-1951)/1951</f>
        <v>1.8452075858534086E-2</v>
      </c>
      <c r="M7">
        <f>1987-K7</f>
        <v>0</v>
      </c>
    </row>
    <row r="8" spans="1:13" ht="27.95" customHeight="1">
      <c r="A8" s="105" t="s">
        <v>54</v>
      </c>
      <c r="B8" s="105">
        <v>6</v>
      </c>
      <c r="C8" s="106">
        <f>(B8-8)/8</f>
        <v>-0.25</v>
      </c>
      <c r="D8" s="107">
        <v>3541</v>
      </c>
      <c r="E8" s="109">
        <f>(D8-2869)/2869</f>
        <v>0.2342279539909376</v>
      </c>
      <c r="F8" s="105">
        <v>100</v>
      </c>
      <c r="G8" s="109">
        <f>(F8-81)/81</f>
        <v>0.23456790123456789</v>
      </c>
      <c r="H8" s="108">
        <v>232.67</v>
      </c>
      <c r="I8" s="109">
        <f>(H8-183.57)/183.57</f>
        <v>0.26747289862177914</v>
      </c>
      <c r="J8" s="105">
        <v>17</v>
      </c>
      <c r="K8" s="105">
        <v>259</v>
      </c>
      <c r="L8" s="109">
        <f>(K8-243)/243</f>
        <v>6.584362139917696E-2</v>
      </c>
    </row>
    <row r="9" spans="1:13" ht="27.95" customHeight="1">
      <c r="A9" s="105" t="s">
        <v>55</v>
      </c>
      <c r="B9" s="105">
        <v>3</v>
      </c>
      <c r="C9" s="109">
        <f>(B9-2)/2</f>
        <v>0.5</v>
      </c>
      <c r="D9" s="105">
        <v>373</v>
      </c>
      <c r="E9" s="109">
        <f>(D9-104)/104</f>
        <v>2.5865384615384617</v>
      </c>
      <c r="F9" s="105">
        <v>8</v>
      </c>
      <c r="G9" s="110">
        <f>(F9-8)/8</f>
        <v>0</v>
      </c>
      <c r="H9" s="108">
        <v>19.440000000000001</v>
      </c>
      <c r="I9" s="109">
        <f>(H9-16.78)/16.78</f>
        <v>0.15852205005959474</v>
      </c>
      <c r="J9" s="105">
        <v>4</v>
      </c>
      <c r="K9" s="105">
        <v>22</v>
      </c>
      <c r="L9" s="109">
        <f>4/18</f>
        <v>0.22222222222222221</v>
      </c>
    </row>
    <row r="10" spans="1:13" ht="27.95" customHeight="1">
      <c r="A10" s="105" t="s">
        <v>56</v>
      </c>
      <c r="B10" s="105">
        <v>2</v>
      </c>
      <c r="C10" s="106">
        <f>(B10-3)/3</f>
        <v>-0.33333333333333331</v>
      </c>
      <c r="D10" s="105">
        <v>53</v>
      </c>
      <c r="E10" s="109">
        <f>(D10-26)/26</f>
        <v>1.0384615384615385</v>
      </c>
      <c r="F10" s="105">
        <v>0</v>
      </c>
      <c r="G10" s="110">
        <v>0</v>
      </c>
      <c r="H10" s="108">
        <v>0.49</v>
      </c>
      <c r="I10" s="109">
        <f>(H10-0)/1</f>
        <v>0.49</v>
      </c>
      <c r="J10" s="105">
        <v>1</v>
      </c>
      <c r="K10" s="105">
        <v>1</v>
      </c>
      <c r="L10" s="109">
        <v>1</v>
      </c>
    </row>
    <row r="11" spans="1:13" ht="27.95" customHeight="1" thickBot="1">
      <c r="A11" s="63" t="s">
        <v>60</v>
      </c>
      <c r="B11" s="64">
        <f>SUM(B7:B10)</f>
        <v>129</v>
      </c>
      <c r="C11" s="65"/>
      <c r="D11" s="66">
        <f>SUM(D3+D5+D7+D8+D9+D10)</f>
        <v>1949489</v>
      </c>
      <c r="E11" s="65"/>
      <c r="F11" s="66">
        <f>SUM(F7:F10)</f>
        <v>901</v>
      </c>
      <c r="G11" s="65"/>
      <c r="H11" s="89">
        <f>SUM(H5+H7+H8+H9+H10)</f>
        <v>77937.180000000008</v>
      </c>
      <c r="I11" s="67"/>
      <c r="J11" s="66">
        <f>SUM(J7:J10)</f>
        <v>58</v>
      </c>
      <c r="K11" s="66">
        <f>SUM(K7:K10)</f>
        <v>2269</v>
      </c>
      <c r="L11" s="104"/>
    </row>
    <row r="12" spans="1:13" ht="27.95" customHeight="1">
      <c r="A12" s="13"/>
      <c r="B12" s="13"/>
      <c r="C12" s="13"/>
      <c r="D12" s="13"/>
      <c r="E12" s="13"/>
      <c r="F12" s="13"/>
      <c r="G12" s="13"/>
      <c r="H12" s="13"/>
      <c r="I12" s="13"/>
    </row>
    <row r="13" spans="1:13" ht="27.95" customHeight="1">
      <c r="A13" s="13"/>
      <c r="B13" s="13"/>
      <c r="C13" s="13"/>
      <c r="D13" s="13"/>
      <c r="E13" s="13"/>
      <c r="F13" s="13"/>
      <c r="G13" s="13"/>
      <c r="H13" s="13"/>
      <c r="I13" s="13"/>
    </row>
  </sheetData>
  <mergeCells count="1">
    <mergeCell ref="A1:I1"/>
  </mergeCells>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60"/>
  <sheetViews>
    <sheetView topLeftCell="A9" workbookViewId="0">
      <selection activeCell="C22" sqref="C22:F22"/>
    </sheetView>
  </sheetViews>
  <sheetFormatPr baseColWidth="10" defaultRowHeight="15.75"/>
  <cols>
    <col min="1" max="1" width="61.875" style="3" customWidth="1"/>
    <col min="2" max="2" width="40.625" style="3" customWidth="1"/>
    <col min="3" max="3" width="17" bestFit="1" customWidth="1"/>
    <col min="4" max="4" width="15.125" bestFit="1" customWidth="1"/>
    <col min="5" max="5" width="22.5" bestFit="1" customWidth="1"/>
    <col min="6" max="6" width="19.125" bestFit="1" customWidth="1"/>
  </cols>
  <sheetData>
    <row r="1" spans="1:13">
      <c r="A1" s="68" t="s">
        <v>10</v>
      </c>
      <c r="B1" s="68" t="s">
        <v>0</v>
      </c>
      <c r="C1" s="69" t="s">
        <v>1</v>
      </c>
      <c r="D1" s="69" t="s">
        <v>2</v>
      </c>
      <c r="E1" s="69" t="s">
        <v>3</v>
      </c>
      <c r="F1" s="69" t="s">
        <v>4</v>
      </c>
      <c r="G1" s="11"/>
      <c r="H1" s="11"/>
      <c r="I1" s="11"/>
      <c r="J1" s="11"/>
      <c r="K1" s="11"/>
      <c r="L1" s="11"/>
      <c r="M1" s="11"/>
    </row>
    <row r="2" spans="1:13">
      <c r="A2" s="70" t="s">
        <v>227</v>
      </c>
      <c r="B2" s="70" t="s">
        <v>228</v>
      </c>
      <c r="C2" s="71">
        <v>95039</v>
      </c>
      <c r="D2" s="71">
        <v>245058</v>
      </c>
      <c r="E2" s="72">
        <v>4043</v>
      </c>
      <c r="F2" s="72">
        <v>4043</v>
      </c>
      <c r="G2" s="11"/>
      <c r="H2" s="11"/>
      <c r="I2" s="11"/>
      <c r="J2" s="11"/>
      <c r="K2" s="11"/>
      <c r="L2" s="11"/>
      <c r="M2" s="11"/>
    </row>
    <row r="3" spans="1:13">
      <c r="A3" s="70" t="s">
        <v>229</v>
      </c>
      <c r="B3" s="70" t="s">
        <v>107</v>
      </c>
      <c r="C3" s="73">
        <v>2552</v>
      </c>
      <c r="D3" s="73">
        <v>12761</v>
      </c>
      <c r="E3" s="74">
        <v>459</v>
      </c>
      <c r="F3" s="74">
        <v>153</v>
      </c>
      <c r="G3" s="11"/>
      <c r="H3" s="11"/>
      <c r="I3" s="11"/>
      <c r="J3" s="11"/>
      <c r="K3" s="11"/>
      <c r="L3" s="11"/>
      <c r="M3" s="11"/>
    </row>
    <row r="4" spans="1:13">
      <c r="A4" s="70" t="s">
        <v>230</v>
      </c>
      <c r="B4" s="70" t="s">
        <v>231</v>
      </c>
      <c r="C4" s="75"/>
      <c r="D4" s="75"/>
      <c r="E4" s="76"/>
      <c r="F4" s="76"/>
      <c r="G4" s="11"/>
      <c r="H4" s="11"/>
      <c r="I4" s="11"/>
      <c r="J4" s="11"/>
      <c r="K4" s="11"/>
      <c r="L4" s="11"/>
      <c r="M4" s="11"/>
    </row>
    <row r="5" spans="1:13">
      <c r="A5" s="77" t="s">
        <v>232</v>
      </c>
      <c r="B5" s="70" t="s">
        <v>121</v>
      </c>
      <c r="C5" s="71">
        <v>7369</v>
      </c>
      <c r="D5" s="71">
        <v>22107</v>
      </c>
      <c r="E5" s="72">
        <v>5410</v>
      </c>
      <c r="F5" s="72">
        <v>5410</v>
      </c>
      <c r="G5" s="11"/>
      <c r="H5" s="11"/>
      <c r="I5" s="11"/>
      <c r="J5" s="11"/>
      <c r="K5" s="11"/>
      <c r="L5" s="11"/>
      <c r="M5" s="11"/>
    </row>
    <row r="6" spans="1:13" ht="31.5">
      <c r="A6" s="77" t="s">
        <v>233</v>
      </c>
      <c r="B6" s="70" t="s">
        <v>187</v>
      </c>
      <c r="C6" s="73">
        <v>2037</v>
      </c>
      <c r="D6" s="73">
        <v>10188</v>
      </c>
      <c r="E6" s="74">
        <v>456</v>
      </c>
      <c r="F6" s="74">
        <v>152</v>
      </c>
      <c r="G6" s="11"/>
      <c r="H6" s="11"/>
      <c r="I6" s="11"/>
      <c r="J6" s="11"/>
      <c r="K6" s="11"/>
      <c r="L6" s="11"/>
      <c r="M6" s="11"/>
    </row>
    <row r="7" spans="1:13" ht="47.25">
      <c r="A7" s="77" t="s">
        <v>234</v>
      </c>
      <c r="B7" s="70" t="s">
        <v>235</v>
      </c>
      <c r="C7" s="71">
        <f>33765 *7</f>
        <v>236355</v>
      </c>
      <c r="D7" s="71">
        <f>168826*7</f>
        <v>1181782</v>
      </c>
      <c r="E7" s="72">
        <f>72*7</f>
        <v>504</v>
      </c>
      <c r="F7" s="72">
        <f>921*7</f>
        <v>6447</v>
      </c>
      <c r="G7" s="11"/>
      <c r="H7" s="11"/>
      <c r="I7" s="11"/>
      <c r="J7" s="11"/>
      <c r="K7" s="11"/>
      <c r="L7" s="11"/>
      <c r="M7" s="11"/>
    </row>
    <row r="8" spans="1:13">
      <c r="A8" s="77" t="s">
        <v>236</v>
      </c>
      <c r="B8" s="70" t="s">
        <v>24</v>
      </c>
      <c r="C8" s="71">
        <v>1678</v>
      </c>
      <c r="D8" s="71">
        <v>8390</v>
      </c>
      <c r="E8" s="72">
        <v>456</v>
      </c>
      <c r="F8" s="72">
        <v>152</v>
      </c>
      <c r="G8" s="11"/>
      <c r="H8" s="11"/>
      <c r="I8" s="11"/>
      <c r="J8" s="11"/>
      <c r="K8" s="11"/>
      <c r="L8" s="11"/>
      <c r="M8" s="11"/>
    </row>
    <row r="9" spans="1:13" ht="31.5">
      <c r="A9" s="77" t="s">
        <v>237</v>
      </c>
      <c r="B9" s="70" t="s">
        <v>238</v>
      </c>
      <c r="C9" s="73">
        <v>1279</v>
      </c>
      <c r="D9" s="73">
        <v>6396</v>
      </c>
      <c r="E9" s="74">
        <v>456</v>
      </c>
      <c r="F9" s="74">
        <v>152</v>
      </c>
      <c r="G9" s="11"/>
      <c r="H9" s="11"/>
      <c r="I9" s="11"/>
      <c r="J9" s="11"/>
      <c r="K9" s="11"/>
      <c r="L9" s="11"/>
      <c r="M9" s="11"/>
    </row>
    <row r="10" spans="1:13" ht="31.5">
      <c r="A10" s="77" t="s">
        <v>239</v>
      </c>
      <c r="B10" s="70" t="s">
        <v>17</v>
      </c>
      <c r="C10" s="71">
        <v>2162</v>
      </c>
      <c r="D10" s="71">
        <v>10813</v>
      </c>
      <c r="E10" s="72">
        <v>666</v>
      </c>
      <c r="F10" s="72">
        <v>222</v>
      </c>
      <c r="G10" s="11"/>
      <c r="H10" s="11"/>
      <c r="I10" s="11"/>
      <c r="J10" s="11"/>
      <c r="K10" s="11"/>
      <c r="L10" s="11"/>
      <c r="M10" s="11"/>
    </row>
    <row r="11" spans="1:13" ht="31.5">
      <c r="A11" s="77" t="s">
        <v>240</v>
      </c>
      <c r="B11" s="70" t="s">
        <v>121</v>
      </c>
      <c r="C11" s="71">
        <v>7369</v>
      </c>
      <c r="D11" s="71">
        <v>22107</v>
      </c>
      <c r="E11" s="72">
        <v>5410</v>
      </c>
      <c r="F11" s="72">
        <v>5410</v>
      </c>
      <c r="G11" s="11"/>
      <c r="H11" s="11"/>
      <c r="I11" s="11"/>
      <c r="J11" s="11"/>
      <c r="K11" s="11"/>
      <c r="L11" s="11"/>
      <c r="M11" s="11"/>
    </row>
    <row r="12" spans="1:13">
      <c r="A12" s="77" t="s">
        <v>241</v>
      </c>
      <c r="B12" s="70" t="s">
        <v>19</v>
      </c>
      <c r="C12" s="75">
        <v>55988</v>
      </c>
      <c r="D12" s="75">
        <v>279940</v>
      </c>
      <c r="E12" s="76">
        <v>3672</v>
      </c>
      <c r="F12" s="76">
        <v>1224</v>
      </c>
      <c r="G12" s="11"/>
      <c r="H12" s="11"/>
      <c r="I12" s="11"/>
      <c r="J12" s="11"/>
      <c r="K12" s="11"/>
      <c r="L12" s="11"/>
      <c r="M12" s="11"/>
    </row>
    <row r="13" spans="1:13">
      <c r="A13" s="70" t="s">
        <v>242</v>
      </c>
      <c r="B13" s="70" t="s">
        <v>243</v>
      </c>
      <c r="C13" s="78">
        <v>1833</v>
      </c>
      <c r="D13" s="78">
        <v>9165</v>
      </c>
      <c r="E13" s="78">
        <v>456</v>
      </c>
      <c r="F13" s="78">
        <v>152</v>
      </c>
      <c r="G13" s="11"/>
      <c r="H13" s="11"/>
      <c r="I13" s="11"/>
      <c r="J13" s="11"/>
      <c r="K13" s="11"/>
      <c r="L13" s="11"/>
      <c r="M13" s="11"/>
    </row>
    <row r="14" spans="1:13">
      <c r="A14" s="77" t="s">
        <v>244</v>
      </c>
      <c r="B14" s="70" t="s">
        <v>121</v>
      </c>
      <c r="C14" s="71">
        <v>7369</v>
      </c>
      <c r="D14" s="71">
        <v>22107</v>
      </c>
      <c r="E14" s="72">
        <v>5410</v>
      </c>
      <c r="F14" s="72">
        <v>5410</v>
      </c>
      <c r="G14" s="11"/>
      <c r="H14" s="11"/>
      <c r="I14" s="11"/>
      <c r="J14" s="11"/>
      <c r="K14" s="11"/>
      <c r="L14" s="11"/>
      <c r="M14" s="11"/>
    </row>
    <row r="15" spans="1:13">
      <c r="A15" s="77" t="s">
        <v>245</v>
      </c>
      <c r="B15" s="70" t="s">
        <v>24</v>
      </c>
      <c r="C15" s="71">
        <v>1678</v>
      </c>
      <c r="D15" s="71">
        <v>8390</v>
      </c>
      <c r="E15" s="72">
        <v>456</v>
      </c>
      <c r="F15" s="72">
        <v>152</v>
      </c>
      <c r="G15" s="11"/>
      <c r="H15" s="11"/>
      <c r="I15" s="11"/>
      <c r="J15" s="11"/>
      <c r="K15" s="11"/>
      <c r="L15" s="11"/>
      <c r="M15" s="11"/>
    </row>
    <row r="16" spans="1:13" ht="31.5">
      <c r="A16" s="77" t="s">
        <v>246</v>
      </c>
      <c r="B16" s="70" t="s">
        <v>17</v>
      </c>
      <c r="C16" s="71">
        <v>2162</v>
      </c>
      <c r="D16" s="71">
        <v>10813</v>
      </c>
      <c r="E16" s="72">
        <v>666</v>
      </c>
      <c r="F16" s="72">
        <v>222</v>
      </c>
      <c r="G16" s="11"/>
      <c r="H16" s="11"/>
      <c r="I16" s="11"/>
      <c r="J16" s="11"/>
      <c r="K16" s="11"/>
      <c r="L16" s="11"/>
      <c r="M16" s="11"/>
    </row>
    <row r="17" spans="1:13" ht="31.5">
      <c r="A17" s="77" t="s">
        <v>247</v>
      </c>
      <c r="B17" s="70" t="s">
        <v>6</v>
      </c>
      <c r="C17" s="80">
        <v>162857</v>
      </c>
      <c r="D17" s="80">
        <v>814287</v>
      </c>
      <c r="E17" s="81">
        <v>6114</v>
      </c>
      <c r="F17" s="81">
        <v>2038</v>
      </c>
      <c r="G17" s="11"/>
      <c r="H17" s="11"/>
      <c r="I17" s="11"/>
      <c r="J17" s="11"/>
      <c r="K17" s="11"/>
      <c r="L17" s="11"/>
      <c r="M17" s="11"/>
    </row>
    <row r="18" spans="1:13" ht="31.5">
      <c r="A18" s="77" t="s">
        <v>247</v>
      </c>
      <c r="B18" s="70" t="s">
        <v>248</v>
      </c>
      <c r="C18" s="75"/>
      <c r="D18" s="75"/>
      <c r="E18" s="76"/>
      <c r="F18" s="76"/>
      <c r="G18" s="11"/>
      <c r="H18" s="11"/>
      <c r="I18" s="11"/>
      <c r="J18" s="11"/>
      <c r="K18" s="11"/>
      <c r="L18" s="11"/>
      <c r="M18" s="11"/>
    </row>
    <row r="19" spans="1:13" ht="31.5">
      <c r="A19" s="77" t="s">
        <v>249</v>
      </c>
      <c r="B19" s="70" t="s">
        <v>17</v>
      </c>
      <c r="C19" s="71">
        <v>2162</v>
      </c>
      <c r="D19" s="71">
        <v>10813</v>
      </c>
      <c r="E19" s="72">
        <v>666</v>
      </c>
      <c r="F19" s="72">
        <v>222</v>
      </c>
      <c r="G19" s="11"/>
      <c r="H19" s="11"/>
      <c r="I19" s="11"/>
      <c r="J19" s="11"/>
      <c r="K19" s="11"/>
      <c r="L19" s="11"/>
      <c r="M19" s="11"/>
    </row>
    <row r="20" spans="1:13">
      <c r="A20" s="77" t="s">
        <v>250</v>
      </c>
      <c r="B20" s="70" t="s">
        <v>251</v>
      </c>
      <c r="C20" s="71">
        <v>9110</v>
      </c>
      <c r="D20" s="71">
        <v>45554</v>
      </c>
      <c r="E20" s="72">
        <v>63</v>
      </c>
      <c r="F20" s="72">
        <v>423</v>
      </c>
      <c r="G20" s="11"/>
      <c r="H20" s="11"/>
      <c r="I20" s="11"/>
      <c r="J20" s="11"/>
      <c r="K20" s="11"/>
      <c r="L20" s="11"/>
      <c r="M20" s="11"/>
    </row>
    <row r="21" spans="1:13">
      <c r="A21" s="77" t="s">
        <v>252</v>
      </c>
      <c r="B21" s="70" t="s">
        <v>6</v>
      </c>
      <c r="C21" s="71">
        <v>162857</v>
      </c>
      <c r="D21" s="71">
        <v>814287</v>
      </c>
      <c r="E21" s="72">
        <v>6114</v>
      </c>
      <c r="F21" s="72">
        <v>2038</v>
      </c>
      <c r="G21" s="11"/>
      <c r="H21" s="11"/>
      <c r="I21" s="11"/>
      <c r="J21" s="11"/>
      <c r="K21" s="11"/>
      <c r="L21" s="11"/>
      <c r="M21" s="11"/>
    </row>
    <row r="22" spans="1:13">
      <c r="A22" s="77" t="s">
        <v>252</v>
      </c>
      <c r="B22" s="70" t="s">
        <v>253</v>
      </c>
      <c r="C22" s="69">
        <v>10147</v>
      </c>
      <c r="D22" s="71">
        <v>50736</v>
      </c>
      <c r="E22" s="72">
        <v>51</v>
      </c>
      <c r="F22" s="72">
        <v>450</v>
      </c>
      <c r="G22" s="11"/>
      <c r="H22" s="11"/>
      <c r="I22" s="11"/>
      <c r="J22" s="11"/>
      <c r="K22" s="11"/>
      <c r="L22" s="11"/>
      <c r="M22" s="11"/>
    </row>
    <row r="23" spans="1:13">
      <c r="A23" s="77" t="s">
        <v>254</v>
      </c>
      <c r="B23" s="70" t="s">
        <v>255</v>
      </c>
      <c r="C23" s="78">
        <v>4834</v>
      </c>
      <c r="D23" s="78">
        <v>24171</v>
      </c>
      <c r="E23" s="78">
        <v>468</v>
      </c>
      <c r="F23" s="78">
        <v>156</v>
      </c>
      <c r="G23" s="11"/>
      <c r="H23" s="11"/>
      <c r="I23" s="11"/>
      <c r="J23" s="11"/>
      <c r="K23" s="11"/>
      <c r="L23" s="11"/>
      <c r="M23" s="11"/>
    </row>
    <row r="24" spans="1:13" ht="31.5">
      <c r="A24" s="77" t="s">
        <v>256</v>
      </c>
      <c r="B24" s="70" t="s">
        <v>257</v>
      </c>
      <c r="C24" s="80">
        <v>2162</v>
      </c>
      <c r="D24" s="80">
        <v>10813</v>
      </c>
      <c r="E24" s="81">
        <v>666</v>
      </c>
      <c r="F24" s="81">
        <v>222</v>
      </c>
      <c r="G24" s="11"/>
      <c r="H24" s="11"/>
      <c r="I24" s="11"/>
      <c r="J24" s="11"/>
      <c r="K24" s="11"/>
      <c r="L24" s="11"/>
      <c r="M24" s="11"/>
    </row>
    <row r="25" spans="1:13">
      <c r="A25" s="77" t="s">
        <v>258</v>
      </c>
      <c r="B25" s="70" t="s">
        <v>112</v>
      </c>
      <c r="C25" s="73">
        <v>1855</v>
      </c>
      <c r="D25" s="73">
        <v>9279</v>
      </c>
      <c r="E25" s="74">
        <v>456</v>
      </c>
      <c r="F25" s="74">
        <v>152</v>
      </c>
      <c r="G25" s="11"/>
      <c r="H25" s="11"/>
      <c r="I25" s="11"/>
      <c r="J25" s="11"/>
      <c r="K25" s="11"/>
      <c r="L25" s="11"/>
      <c r="M25" s="11"/>
    </row>
    <row r="26" spans="1:13" ht="31.5">
      <c r="A26" s="77" t="s">
        <v>259</v>
      </c>
      <c r="B26" s="70" t="s">
        <v>112</v>
      </c>
      <c r="C26" s="73">
        <v>1855</v>
      </c>
      <c r="D26" s="73">
        <v>9279</v>
      </c>
      <c r="E26" s="74">
        <v>456</v>
      </c>
      <c r="F26" s="74">
        <v>152</v>
      </c>
      <c r="G26" s="11"/>
      <c r="H26" s="11"/>
      <c r="I26" s="11"/>
      <c r="J26" s="11"/>
      <c r="K26" s="11"/>
      <c r="L26" s="11"/>
      <c r="M26" s="11"/>
    </row>
    <row r="27" spans="1:13">
      <c r="A27" s="77" t="s">
        <v>260</v>
      </c>
      <c r="B27" s="70" t="s">
        <v>261</v>
      </c>
      <c r="C27" s="75"/>
      <c r="D27" s="75"/>
      <c r="E27" s="76"/>
      <c r="F27" s="76"/>
      <c r="G27" s="11"/>
      <c r="H27" s="11"/>
      <c r="I27" s="11"/>
      <c r="J27" s="11"/>
      <c r="K27" s="11"/>
      <c r="L27" s="11"/>
      <c r="M27" s="11"/>
    </row>
    <row r="28" spans="1:13" ht="31.5">
      <c r="A28" s="77" t="s">
        <v>262</v>
      </c>
      <c r="B28" s="70" t="s">
        <v>6</v>
      </c>
      <c r="C28" s="73">
        <v>162857</v>
      </c>
      <c r="D28" s="73">
        <v>814287</v>
      </c>
      <c r="E28" s="74">
        <v>963</v>
      </c>
      <c r="F28" s="74">
        <v>321</v>
      </c>
      <c r="G28" s="11"/>
      <c r="H28" s="11"/>
      <c r="I28" s="11"/>
      <c r="J28" s="11"/>
      <c r="K28" s="11"/>
      <c r="L28" s="11"/>
      <c r="M28" s="11"/>
    </row>
    <row r="29" spans="1:13" ht="31.5">
      <c r="A29" s="77" t="s">
        <v>263</v>
      </c>
      <c r="B29" s="70" t="s">
        <v>264</v>
      </c>
      <c r="C29" s="75"/>
      <c r="D29" s="75"/>
      <c r="E29" s="76"/>
      <c r="F29" s="76"/>
      <c r="G29" s="11"/>
      <c r="H29" s="11"/>
      <c r="I29" s="11"/>
      <c r="J29" s="11"/>
      <c r="K29" s="11"/>
      <c r="L29" s="11"/>
      <c r="M29" s="11"/>
    </row>
    <row r="30" spans="1:13">
      <c r="A30" s="77" t="s">
        <v>265</v>
      </c>
      <c r="B30" s="70" t="s">
        <v>266</v>
      </c>
      <c r="C30" s="71">
        <v>313008</v>
      </c>
      <c r="D30" s="71">
        <v>1565040</v>
      </c>
      <c r="E30" s="72">
        <v>125</v>
      </c>
      <c r="F30" s="72">
        <v>2616</v>
      </c>
      <c r="G30" s="11"/>
      <c r="H30" s="11"/>
      <c r="I30" s="11"/>
      <c r="J30" s="11"/>
      <c r="K30" s="11"/>
      <c r="L30" s="11"/>
      <c r="M30" s="11"/>
    </row>
    <row r="31" spans="1:13">
      <c r="A31" s="77" t="s">
        <v>267</v>
      </c>
      <c r="B31" s="70" t="s">
        <v>17</v>
      </c>
      <c r="C31" s="71">
        <v>2162</v>
      </c>
      <c r="D31" s="71">
        <v>10813</v>
      </c>
      <c r="E31" s="72">
        <v>666</v>
      </c>
      <c r="F31" s="72">
        <v>222</v>
      </c>
      <c r="G31" s="11"/>
      <c r="H31" s="11"/>
      <c r="I31" s="11"/>
      <c r="J31" s="11"/>
      <c r="K31" s="11"/>
      <c r="L31" s="11"/>
      <c r="M31" s="11"/>
    </row>
    <row r="32" spans="1:13" ht="18.75">
      <c r="A32" s="70"/>
      <c r="B32" s="70"/>
      <c r="C32" s="79">
        <f>SUM(C2:C31)</f>
        <v>1260736</v>
      </c>
      <c r="D32" s="79">
        <f>SUM(D2:D31)</f>
        <v>6029376</v>
      </c>
      <c r="E32" s="83">
        <f>SUM(E2:E31)</f>
        <v>45328</v>
      </c>
      <c r="F32" s="83">
        <f>SUM(F2:F31)</f>
        <v>38313</v>
      </c>
      <c r="G32" s="11"/>
      <c r="H32" s="11"/>
      <c r="I32" s="11"/>
      <c r="J32" s="11"/>
      <c r="K32" s="11"/>
      <c r="L32" s="11"/>
      <c r="M32" s="11"/>
    </row>
    <row r="33" spans="1:9">
      <c r="D33">
        <v>46700</v>
      </c>
      <c r="E33">
        <f>(D33*E32)/D32</f>
        <v>351.08402594231973</v>
      </c>
    </row>
    <row r="34" spans="1:9">
      <c r="E34">
        <f>497*2</f>
        <v>994</v>
      </c>
    </row>
    <row r="35" spans="1:9">
      <c r="E35">
        <f>SUM(E33:E34)</f>
        <v>1345.0840259423198</v>
      </c>
    </row>
    <row r="36" spans="1:9">
      <c r="A36" s="39" t="s">
        <v>396</v>
      </c>
      <c r="D36" s="131">
        <v>1435</v>
      </c>
      <c r="E36" s="131">
        <v>38</v>
      </c>
      <c r="G36" s="134">
        <v>2.6499999999999999E-2</v>
      </c>
      <c r="H36" s="131">
        <v>8</v>
      </c>
      <c r="I36" s="134">
        <v>2.3699999999999999E-2</v>
      </c>
    </row>
    <row r="37" spans="1:9">
      <c r="A37" s="40" t="s">
        <v>65</v>
      </c>
      <c r="D37" s="131"/>
      <c r="E37" s="131"/>
      <c r="F37" t="s">
        <v>397</v>
      </c>
      <c r="G37" s="135"/>
      <c r="H37" s="131"/>
      <c r="I37" s="135"/>
    </row>
    <row r="38" spans="1:9">
      <c r="A38" s="39" t="s">
        <v>374</v>
      </c>
      <c r="B38" s="131" t="s">
        <v>375</v>
      </c>
      <c r="C38" s="131" t="s">
        <v>40</v>
      </c>
      <c r="D38" s="131">
        <v>181</v>
      </c>
      <c r="E38" s="131">
        <v>1</v>
      </c>
      <c r="F38" s="131" t="s">
        <v>40</v>
      </c>
      <c r="G38" s="131" t="s">
        <v>376</v>
      </c>
      <c r="H38" s="131">
        <v>4</v>
      </c>
      <c r="I38" s="131" t="s">
        <v>377</v>
      </c>
    </row>
    <row r="39" spans="1:9">
      <c r="A39" s="40" t="s">
        <v>65</v>
      </c>
      <c r="B39" s="131"/>
      <c r="C39" s="131"/>
      <c r="D39" s="131"/>
      <c r="E39" s="131"/>
      <c r="F39" s="131"/>
      <c r="G39" s="131"/>
      <c r="H39" s="131"/>
      <c r="I39" s="131"/>
    </row>
    <row r="40" spans="1:9">
      <c r="A40" s="39" t="s">
        <v>378</v>
      </c>
      <c r="B40" s="131" t="s">
        <v>379</v>
      </c>
      <c r="C40" s="131" t="s">
        <v>40</v>
      </c>
      <c r="D40" s="131">
        <v>175</v>
      </c>
      <c r="E40" s="131">
        <v>1</v>
      </c>
      <c r="F40" s="131" t="s">
        <v>40</v>
      </c>
      <c r="G40" s="131" t="s">
        <v>380</v>
      </c>
      <c r="H40" s="131">
        <v>1</v>
      </c>
      <c r="I40" s="131" t="s">
        <v>381</v>
      </c>
    </row>
    <row r="41" spans="1:9">
      <c r="A41" s="40" t="s">
        <v>65</v>
      </c>
      <c r="B41" s="131"/>
      <c r="C41" s="131"/>
      <c r="D41" s="131"/>
      <c r="E41" s="131"/>
      <c r="F41" s="131"/>
      <c r="G41" s="131"/>
      <c r="H41" s="131"/>
      <c r="I41" s="131"/>
    </row>
    <row r="42" spans="1:9">
      <c r="A42" s="39" t="s">
        <v>382</v>
      </c>
      <c r="B42" s="131" t="s">
        <v>383</v>
      </c>
      <c r="C42" s="131" t="s">
        <v>40</v>
      </c>
      <c r="D42" s="131">
        <v>162</v>
      </c>
      <c r="E42" s="131">
        <v>2</v>
      </c>
      <c r="F42" s="131" t="s">
        <v>40</v>
      </c>
      <c r="G42" s="131" t="s">
        <v>73</v>
      </c>
      <c r="H42" s="131">
        <v>2</v>
      </c>
      <c r="I42" s="131" t="s">
        <v>384</v>
      </c>
    </row>
    <row r="43" spans="1:9">
      <c r="A43" s="40" t="s">
        <v>65</v>
      </c>
      <c r="B43" s="131"/>
      <c r="C43" s="131"/>
      <c r="D43" s="131"/>
      <c r="E43" s="131"/>
      <c r="F43" s="131"/>
      <c r="G43" s="131"/>
      <c r="H43" s="131"/>
      <c r="I43" s="131"/>
    </row>
    <row r="44" spans="1:9">
      <c r="A44" s="39" t="s">
        <v>385</v>
      </c>
      <c r="B44" s="131" t="s">
        <v>386</v>
      </c>
      <c r="C44" s="131" t="s">
        <v>40</v>
      </c>
      <c r="D44" s="131">
        <v>170</v>
      </c>
      <c r="E44" s="131">
        <v>5</v>
      </c>
      <c r="F44" s="131" t="s">
        <v>40</v>
      </c>
      <c r="G44" s="131" t="s">
        <v>387</v>
      </c>
      <c r="H44" s="131">
        <v>2</v>
      </c>
      <c r="I44" s="131" t="s">
        <v>388</v>
      </c>
    </row>
    <row r="45" spans="1:9">
      <c r="A45" s="40" t="s">
        <v>65</v>
      </c>
      <c r="B45" s="131"/>
      <c r="C45" s="131"/>
      <c r="D45" s="131"/>
      <c r="E45" s="131"/>
      <c r="F45" s="131"/>
      <c r="G45" s="131"/>
      <c r="H45" s="131"/>
      <c r="I45" s="131"/>
    </row>
    <row r="46" spans="1:9">
      <c r="A46" s="39" t="s">
        <v>389</v>
      </c>
      <c r="B46" s="132">
        <v>43437</v>
      </c>
      <c r="C46" s="131" t="s">
        <v>40</v>
      </c>
      <c r="D46" s="131">
        <v>264</v>
      </c>
      <c r="E46" s="131">
        <v>4</v>
      </c>
      <c r="F46" s="131" t="s">
        <v>40</v>
      </c>
      <c r="G46" s="131" t="s">
        <v>390</v>
      </c>
      <c r="H46" s="131">
        <v>2</v>
      </c>
      <c r="I46" s="131" t="s">
        <v>391</v>
      </c>
    </row>
    <row r="47" spans="1:9">
      <c r="A47" s="40" t="s">
        <v>65</v>
      </c>
      <c r="B47" s="132"/>
      <c r="C47" s="131"/>
      <c r="D47" s="131"/>
      <c r="E47" s="131"/>
      <c r="F47" s="131"/>
      <c r="G47" s="131"/>
      <c r="H47" s="131"/>
      <c r="I47" s="131"/>
    </row>
    <row r="48" spans="1:9">
      <c r="A48" s="39" t="s">
        <v>392</v>
      </c>
      <c r="B48" s="132">
        <v>43346</v>
      </c>
      <c r="C48" s="131" t="s">
        <v>40</v>
      </c>
      <c r="D48" s="131">
        <v>250</v>
      </c>
      <c r="E48" s="131">
        <v>5</v>
      </c>
      <c r="F48" s="131" t="s">
        <v>40</v>
      </c>
      <c r="G48" s="136">
        <v>0.02</v>
      </c>
      <c r="H48" s="131" t="s">
        <v>40</v>
      </c>
      <c r="I48" s="136">
        <v>0.02</v>
      </c>
    </row>
    <row r="49" spans="1:9">
      <c r="A49" s="40" t="s">
        <v>65</v>
      </c>
      <c r="B49" s="132"/>
      <c r="C49" s="131"/>
      <c r="D49" s="131"/>
      <c r="E49" s="131"/>
      <c r="F49" s="131"/>
      <c r="G49" s="136"/>
      <c r="H49" s="131"/>
      <c r="I49" s="136"/>
    </row>
    <row r="50" spans="1:9">
      <c r="A50" s="39" t="s">
        <v>393</v>
      </c>
      <c r="B50" s="132">
        <v>43223</v>
      </c>
      <c r="C50" s="131" t="s">
        <v>40</v>
      </c>
      <c r="D50" s="131">
        <v>232</v>
      </c>
      <c r="E50" s="131">
        <v>4</v>
      </c>
      <c r="F50" s="131" t="s">
        <v>40</v>
      </c>
      <c r="G50" s="131" t="s">
        <v>394</v>
      </c>
      <c r="H50" s="131">
        <v>2</v>
      </c>
      <c r="I50" s="131" t="s">
        <v>395</v>
      </c>
    </row>
    <row r="51" spans="1:9">
      <c r="A51" s="40" t="s">
        <v>65</v>
      </c>
      <c r="B51" s="132"/>
      <c r="C51" s="131"/>
      <c r="D51" s="131"/>
      <c r="E51" s="131"/>
      <c r="F51" s="131"/>
      <c r="G51" s="131"/>
      <c r="H51" s="131"/>
      <c r="I51" s="131"/>
    </row>
    <row r="53" spans="1:9">
      <c r="D53">
        <f>SUM(D36:D51)</f>
        <v>2869</v>
      </c>
      <c r="E53">
        <f>SUM(E36:E51)</f>
        <v>60</v>
      </c>
      <c r="H53">
        <f>SUM(H36:H51)</f>
        <v>21</v>
      </c>
    </row>
    <row r="54" spans="1:9">
      <c r="E54">
        <f>(D53*E32)/D32</f>
        <v>21.568738124807609</v>
      </c>
    </row>
    <row r="55" spans="1:9">
      <c r="E55">
        <f>81*2</f>
        <v>162</v>
      </c>
    </row>
    <row r="56" spans="1:9">
      <c r="E56">
        <f>SUM(E54:E55)</f>
        <v>183.56873812480762</v>
      </c>
    </row>
    <row r="58" spans="1:9">
      <c r="D58">
        <v>104</v>
      </c>
      <c r="E58">
        <f>(D58*E32)/D32</f>
        <v>0.78185735970024095</v>
      </c>
    </row>
    <row r="59" spans="1:9">
      <c r="E59">
        <v>16</v>
      </c>
    </row>
    <row r="60" spans="1:9">
      <c r="D60">
        <v>26</v>
      </c>
      <c r="E60" s="99">
        <f>(D59*E32)/D32</f>
        <v>0</v>
      </c>
    </row>
  </sheetData>
  <mergeCells count="61">
    <mergeCell ref="H50:H51"/>
    <mergeCell ref="I50:I51"/>
    <mergeCell ref="D36:D37"/>
    <mergeCell ref="E36:E37"/>
    <mergeCell ref="G36:G37"/>
    <mergeCell ref="H36:H37"/>
    <mergeCell ref="I36:I37"/>
    <mergeCell ref="G50:G51"/>
    <mergeCell ref="H46:H47"/>
    <mergeCell ref="I46:I47"/>
    <mergeCell ref="G48:G49"/>
    <mergeCell ref="H48:H49"/>
    <mergeCell ref="I48:I49"/>
    <mergeCell ref="G46:G47"/>
    <mergeCell ref="H42:H43"/>
    <mergeCell ref="I42:I43"/>
    <mergeCell ref="B50:B51"/>
    <mergeCell ref="C50:C51"/>
    <mergeCell ref="D50:D51"/>
    <mergeCell ref="E50:E51"/>
    <mergeCell ref="F50:F51"/>
    <mergeCell ref="B48:B49"/>
    <mergeCell ref="C48:C49"/>
    <mergeCell ref="D48:D49"/>
    <mergeCell ref="E48:E49"/>
    <mergeCell ref="F48:F49"/>
    <mergeCell ref="B46:B47"/>
    <mergeCell ref="C46:C47"/>
    <mergeCell ref="D46:D47"/>
    <mergeCell ref="E46:E47"/>
    <mergeCell ref="F46:F47"/>
    <mergeCell ref="G44:G45"/>
    <mergeCell ref="H44:H45"/>
    <mergeCell ref="I44:I45"/>
    <mergeCell ref="B42:B43"/>
    <mergeCell ref="C42:C43"/>
    <mergeCell ref="D42:D43"/>
    <mergeCell ref="E42:E43"/>
    <mergeCell ref="F42:F43"/>
    <mergeCell ref="G42:G43"/>
    <mergeCell ref="B44:B45"/>
    <mergeCell ref="C44:C45"/>
    <mergeCell ref="D44:D45"/>
    <mergeCell ref="E44:E45"/>
    <mergeCell ref="F44:F45"/>
    <mergeCell ref="H38:H39"/>
    <mergeCell ref="I38:I39"/>
    <mergeCell ref="B40:B41"/>
    <mergeCell ref="C40:C41"/>
    <mergeCell ref="D40:D41"/>
    <mergeCell ref="E40:E41"/>
    <mergeCell ref="F40:F41"/>
    <mergeCell ref="G40:G41"/>
    <mergeCell ref="H40:H41"/>
    <mergeCell ref="I40:I41"/>
    <mergeCell ref="B38:B39"/>
    <mergeCell ref="C38:C39"/>
    <mergeCell ref="D38:D39"/>
    <mergeCell ref="E38:E39"/>
    <mergeCell ref="F38:F39"/>
    <mergeCell ref="G38:G39"/>
  </mergeCells>
  <hyperlinks>
    <hyperlink ref="A5" r:id="rId1" xr:uid="{00000000-0004-0000-0300-000000000000}"/>
    <hyperlink ref="A6" r:id="rId2" xr:uid="{00000000-0004-0000-0300-000001000000}"/>
    <hyperlink ref="A7" r:id="rId3" xr:uid="{00000000-0004-0000-0300-000002000000}"/>
    <hyperlink ref="A8" r:id="rId4" xr:uid="{00000000-0004-0000-0300-000003000000}"/>
    <hyperlink ref="A9" r:id="rId5" xr:uid="{00000000-0004-0000-0300-000004000000}"/>
    <hyperlink ref="A10" r:id="rId6" xr:uid="{00000000-0004-0000-0300-000005000000}"/>
    <hyperlink ref="A11" r:id="rId7" xr:uid="{00000000-0004-0000-0300-000006000000}"/>
    <hyperlink ref="A12" r:id="rId8" xr:uid="{00000000-0004-0000-0300-000007000000}"/>
    <hyperlink ref="A14" r:id="rId9" xr:uid="{00000000-0004-0000-0300-000008000000}"/>
    <hyperlink ref="A15" r:id="rId10" xr:uid="{00000000-0004-0000-0300-000009000000}"/>
    <hyperlink ref="A16" r:id="rId11" xr:uid="{00000000-0004-0000-0300-00000A000000}"/>
    <hyperlink ref="A17" r:id="rId12" xr:uid="{00000000-0004-0000-0300-00000B000000}"/>
    <hyperlink ref="A18" r:id="rId13" xr:uid="{00000000-0004-0000-0300-00000C000000}"/>
    <hyperlink ref="A19" r:id="rId14" xr:uid="{00000000-0004-0000-0300-00000D000000}"/>
    <hyperlink ref="A20" r:id="rId15" xr:uid="{00000000-0004-0000-0300-00000E000000}"/>
    <hyperlink ref="A21" r:id="rId16" xr:uid="{00000000-0004-0000-0300-00000F000000}"/>
    <hyperlink ref="A22" r:id="rId17" xr:uid="{00000000-0004-0000-0300-000010000000}"/>
    <hyperlink ref="A23" r:id="rId18" xr:uid="{00000000-0004-0000-0300-000011000000}"/>
    <hyperlink ref="A24" r:id="rId19" xr:uid="{00000000-0004-0000-0300-000012000000}"/>
    <hyperlink ref="A25" r:id="rId20" xr:uid="{00000000-0004-0000-0300-000013000000}"/>
    <hyperlink ref="A26" r:id="rId21" xr:uid="{00000000-0004-0000-0300-000014000000}"/>
    <hyperlink ref="A27" r:id="rId22" xr:uid="{00000000-0004-0000-0300-000015000000}"/>
    <hyperlink ref="A28" r:id="rId23" xr:uid="{00000000-0004-0000-0300-000016000000}"/>
    <hyperlink ref="A29" r:id="rId24" xr:uid="{00000000-0004-0000-0300-000017000000}"/>
    <hyperlink ref="A30" r:id="rId25" xr:uid="{00000000-0004-0000-0300-000018000000}"/>
    <hyperlink ref="A31" r:id="rId26" xr:uid="{00000000-0004-0000-0300-000019000000}"/>
    <hyperlink ref="A38" r:id="rId27" xr:uid="{00000000-0004-0000-0300-00001A000000}"/>
    <hyperlink ref="A40" r:id="rId28" xr:uid="{00000000-0004-0000-0300-00001B000000}"/>
    <hyperlink ref="A42" r:id="rId29" xr:uid="{00000000-0004-0000-0300-00001C000000}"/>
    <hyperlink ref="A44" r:id="rId30" xr:uid="{00000000-0004-0000-0300-00001D000000}"/>
    <hyperlink ref="A46" r:id="rId31" xr:uid="{00000000-0004-0000-0300-00001E000000}"/>
    <hyperlink ref="A48" r:id="rId32" xr:uid="{00000000-0004-0000-0300-00001F000000}"/>
    <hyperlink ref="A50" r:id="rId33" xr:uid="{00000000-0004-0000-0300-000020000000}"/>
    <hyperlink ref="A36" r:id="rId34" xr:uid="{00000000-0004-0000-0300-000021000000}"/>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3"/>
  <sheetViews>
    <sheetView workbookViewId="0">
      <selection sqref="A1:XFD1048576"/>
    </sheetView>
  </sheetViews>
  <sheetFormatPr baseColWidth="10" defaultRowHeight="27.95" customHeight="1"/>
  <cols>
    <col min="1" max="1" width="12.125" bestFit="1" customWidth="1"/>
    <col min="2" max="2" width="12.875" bestFit="1" customWidth="1"/>
    <col min="3" max="3" width="11.125" bestFit="1" customWidth="1"/>
    <col min="4" max="4" width="16.125" bestFit="1" customWidth="1"/>
    <col min="5" max="5" width="11.375" bestFit="1" customWidth="1"/>
    <col min="6" max="6" width="16.375" bestFit="1" customWidth="1"/>
    <col min="7" max="7" width="11.375" bestFit="1" customWidth="1"/>
    <col min="8" max="8" width="14.625" bestFit="1" customWidth="1"/>
    <col min="9" max="9" width="11.375" bestFit="1" customWidth="1"/>
    <col min="10" max="10" width="17.375" customWidth="1"/>
  </cols>
  <sheetData>
    <row r="1" spans="1:12" ht="27.95" customHeight="1">
      <c r="A1" s="128" t="s">
        <v>373</v>
      </c>
      <c r="B1" s="129"/>
      <c r="C1" s="129"/>
      <c r="D1" s="129"/>
      <c r="E1" s="129"/>
      <c r="F1" s="129"/>
      <c r="G1" s="129"/>
      <c r="H1" s="129"/>
      <c r="I1" s="130"/>
      <c r="J1" s="100"/>
      <c r="K1" s="100"/>
      <c r="L1" s="101"/>
    </row>
    <row r="2" spans="1:12" ht="27.95" customHeight="1">
      <c r="A2" s="14" t="s">
        <v>41</v>
      </c>
      <c r="B2" s="15" t="s">
        <v>47</v>
      </c>
      <c r="C2" s="15" t="s">
        <v>43</v>
      </c>
      <c r="D2" s="15" t="s">
        <v>57</v>
      </c>
      <c r="E2" s="15" t="s">
        <v>43</v>
      </c>
      <c r="F2" s="15" t="s">
        <v>49</v>
      </c>
      <c r="G2" s="15" t="s">
        <v>43</v>
      </c>
      <c r="H2" s="15" t="s">
        <v>48</v>
      </c>
      <c r="I2" s="58" t="s">
        <v>43</v>
      </c>
      <c r="J2" s="101"/>
      <c r="K2" s="101"/>
      <c r="L2" s="101"/>
    </row>
    <row r="3" spans="1:12" ht="27.95" customHeight="1">
      <c r="A3" s="105" t="s">
        <v>46</v>
      </c>
      <c r="B3" s="107">
        <v>2288</v>
      </c>
      <c r="C3" s="109">
        <v>0.1205</v>
      </c>
      <c r="D3" s="107">
        <v>1505</v>
      </c>
      <c r="E3" s="109">
        <v>0.1173</v>
      </c>
      <c r="F3" s="107">
        <v>5590</v>
      </c>
      <c r="G3" s="109">
        <v>4.3299999999999998E-2</v>
      </c>
      <c r="H3" s="111">
        <v>0.58919999999999995</v>
      </c>
      <c r="I3" s="106">
        <v>4.2500000000000003E-2</v>
      </c>
      <c r="J3" s="101"/>
      <c r="K3" s="101"/>
      <c r="L3" s="101"/>
    </row>
    <row r="4" spans="1:12" ht="27.95" customHeight="1">
      <c r="A4" s="112" t="s">
        <v>41</v>
      </c>
      <c r="B4" s="112" t="s">
        <v>51</v>
      </c>
      <c r="C4" s="112" t="s">
        <v>43</v>
      </c>
      <c r="D4" s="112" t="s">
        <v>58</v>
      </c>
      <c r="E4" s="112" t="s">
        <v>43</v>
      </c>
      <c r="F4" s="112" t="s">
        <v>49</v>
      </c>
      <c r="G4" s="112" t="s">
        <v>43</v>
      </c>
      <c r="H4" s="112" t="s">
        <v>44</v>
      </c>
      <c r="I4" s="112" t="s">
        <v>43</v>
      </c>
      <c r="J4" s="101"/>
      <c r="K4" s="101"/>
      <c r="L4" s="101"/>
    </row>
    <row r="5" spans="1:12" ht="27.95" customHeight="1" thickBot="1">
      <c r="A5" s="105" t="s">
        <v>50</v>
      </c>
      <c r="B5" s="105">
        <v>38</v>
      </c>
      <c r="C5" s="106">
        <f>(B5-57)/57</f>
        <v>-0.33333333333333331</v>
      </c>
      <c r="D5" s="107">
        <v>1260736</v>
      </c>
      <c r="E5" s="106">
        <f>(D5-11503078)/11503078</f>
        <v>-0.89040011725557278</v>
      </c>
      <c r="F5" s="107">
        <f>'Marzo 2018'!D32</f>
        <v>6029376</v>
      </c>
      <c r="G5" s="106">
        <f>(F5-56917028)/56917028</f>
        <v>-0.8940672728027893</v>
      </c>
      <c r="H5" s="113">
        <f>'Marzo 2018'!E32</f>
        <v>45328</v>
      </c>
      <c r="I5" s="106">
        <f>(H5-67027)/67027</f>
        <v>-0.32373521118355292</v>
      </c>
      <c r="J5" s="101"/>
      <c r="K5" s="101"/>
      <c r="L5" s="101"/>
    </row>
    <row r="6" spans="1:12" ht="27.95" customHeight="1">
      <c r="A6" s="57" t="s">
        <v>41</v>
      </c>
      <c r="B6" s="15" t="s">
        <v>42</v>
      </c>
      <c r="C6" s="15" t="s">
        <v>43</v>
      </c>
      <c r="D6" s="15" t="s">
        <v>59</v>
      </c>
      <c r="E6" s="15" t="s">
        <v>43</v>
      </c>
      <c r="F6" s="15" t="s">
        <v>52</v>
      </c>
      <c r="G6" s="15" t="s">
        <v>43</v>
      </c>
      <c r="H6" s="15" t="s">
        <v>44</v>
      </c>
      <c r="I6" s="15" t="s">
        <v>43</v>
      </c>
      <c r="J6" s="102" t="s">
        <v>399</v>
      </c>
      <c r="K6" s="102" t="s">
        <v>398</v>
      </c>
      <c r="L6" s="103" t="s">
        <v>43</v>
      </c>
    </row>
    <row r="7" spans="1:12" ht="27.95" customHeight="1">
      <c r="A7" s="105" t="s">
        <v>53</v>
      </c>
      <c r="B7" s="105">
        <v>99</v>
      </c>
      <c r="C7" s="106">
        <f>(B7-129)/129</f>
        <v>-0.23255813953488372</v>
      </c>
      <c r="D7" s="107">
        <v>46700</v>
      </c>
      <c r="E7" s="106">
        <f>(D7-53700)/53700</f>
        <v>-0.13035381750465549</v>
      </c>
      <c r="F7" s="105">
        <v>497</v>
      </c>
      <c r="G7" s="106">
        <f>(F7-567)/567</f>
        <v>-0.12345679012345678</v>
      </c>
      <c r="H7" s="108">
        <f>'Marzo 2018'!E35</f>
        <v>1345.0840259423198</v>
      </c>
      <c r="I7" s="109">
        <f>(H7-1180.71)/1180.71</f>
        <v>0.1392162562714975</v>
      </c>
      <c r="J7" s="105">
        <v>42</v>
      </c>
      <c r="K7" s="105">
        <v>1951</v>
      </c>
      <c r="L7" s="106">
        <f>(J7-45)/45</f>
        <v>-6.6666666666666666E-2</v>
      </c>
    </row>
    <row r="8" spans="1:12" ht="27.95" customHeight="1">
      <c r="A8" s="105" t="s">
        <v>54</v>
      </c>
      <c r="B8" s="105">
        <v>9</v>
      </c>
      <c r="C8" s="106">
        <f>(B8-13)/13</f>
        <v>-0.30769230769230771</v>
      </c>
      <c r="D8" s="107">
        <v>2869</v>
      </c>
      <c r="E8" s="106">
        <f>(D8-6208)/6208</f>
        <v>-0.537854381443299</v>
      </c>
      <c r="F8" s="105">
        <v>81</v>
      </c>
      <c r="G8" s="109">
        <f>(F8-58)/58</f>
        <v>0.39655172413793105</v>
      </c>
      <c r="H8" s="108">
        <v>183.57</v>
      </c>
      <c r="I8" s="106">
        <f>(H8-499.46)/499.46</f>
        <v>-0.63246306010491327</v>
      </c>
      <c r="J8" s="105">
        <v>16</v>
      </c>
      <c r="K8" s="105">
        <v>243</v>
      </c>
      <c r="L8" s="109">
        <v>0.6</v>
      </c>
    </row>
    <row r="9" spans="1:12" ht="27.95" customHeight="1">
      <c r="A9" s="105" t="s">
        <v>55</v>
      </c>
      <c r="B9" s="105">
        <v>2</v>
      </c>
      <c r="C9" s="106">
        <f>(B9-3)/3</f>
        <v>-0.33333333333333331</v>
      </c>
      <c r="D9" s="105">
        <v>104</v>
      </c>
      <c r="E9" s="106">
        <f>(D9-210)/210</f>
        <v>-0.50476190476190474</v>
      </c>
      <c r="F9" s="105">
        <v>8</v>
      </c>
      <c r="G9" s="106">
        <f>(F9-20)/20</f>
        <v>-0.6</v>
      </c>
      <c r="H9" s="108">
        <v>16.78</v>
      </c>
      <c r="I9" s="106">
        <f>(H9-420)/420</f>
        <v>-0.96004761904761915</v>
      </c>
      <c r="J9" s="105">
        <v>2</v>
      </c>
      <c r="K9" s="105">
        <v>18</v>
      </c>
      <c r="L9" s="109">
        <v>2</v>
      </c>
    </row>
    <row r="10" spans="1:12" ht="27.95" customHeight="1">
      <c r="A10" s="105" t="s">
        <v>56</v>
      </c>
      <c r="B10" s="105">
        <v>3</v>
      </c>
      <c r="C10" s="106">
        <f>(B10-5)/5</f>
        <v>-0.4</v>
      </c>
      <c r="D10" s="105">
        <v>26</v>
      </c>
      <c r="E10" s="106">
        <f>(D10-109)/109</f>
        <v>-0.76146788990825687</v>
      </c>
      <c r="F10" s="105">
        <v>0</v>
      </c>
      <c r="G10" s="106">
        <f>(F10-4)/4</f>
        <v>-1</v>
      </c>
      <c r="H10" s="108">
        <v>0</v>
      </c>
      <c r="I10" s="106">
        <f>(H10-7.57)/7.57</f>
        <v>-1</v>
      </c>
      <c r="J10" s="105">
        <v>0</v>
      </c>
      <c r="K10" s="105">
        <v>0</v>
      </c>
      <c r="L10" s="110">
        <v>0</v>
      </c>
    </row>
    <row r="11" spans="1:12" ht="27.95" customHeight="1" thickBot="1">
      <c r="A11" s="63" t="s">
        <v>60</v>
      </c>
      <c r="B11" s="64">
        <f>SUM(B7:B10)</f>
        <v>113</v>
      </c>
      <c r="C11" s="65"/>
      <c r="D11" s="66">
        <f>SUM(D3+D5+D7+D8+D9+D10)</f>
        <v>1311940</v>
      </c>
      <c r="E11" s="65"/>
      <c r="F11" s="66">
        <f>SUM(F7:F10)</f>
        <v>586</v>
      </c>
      <c r="G11" s="65"/>
      <c r="H11" s="89">
        <f>SUM(H5+H7+H8+H9+H10)</f>
        <v>46873.434025942319</v>
      </c>
      <c r="I11" s="67"/>
      <c r="J11" s="66">
        <f>SUM(J7:J9)</f>
        <v>60</v>
      </c>
      <c r="K11" s="66">
        <f>SUM(K7:K8)</f>
        <v>2194</v>
      </c>
      <c r="L11" s="104"/>
    </row>
    <row r="12" spans="1:12" ht="27.95" customHeight="1">
      <c r="A12" s="13"/>
      <c r="B12" s="13"/>
      <c r="C12" s="13"/>
      <c r="D12" s="13"/>
      <c r="E12" s="13"/>
      <c r="F12" s="13"/>
      <c r="G12" s="13"/>
      <c r="H12" s="13"/>
      <c r="I12" s="13"/>
    </row>
    <row r="13" spans="1:12" ht="27.95" customHeight="1">
      <c r="A13" s="13"/>
      <c r="B13" s="13"/>
      <c r="C13" s="13"/>
      <c r="D13" s="13"/>
      <c r="E13" s="13"/>
      <c r="F13" s="13"/>
      <c r="G13" s="13"/>
      <c r="H13" s="13"/>
      <c r="I13" s="13"/>
    </row>
  </sheetData>
  <mergeCells count="1">
    <mergeCell ref="A1:I1"/>
  </mergeCells>
  <pageMargins left="0.75" right="0.75" top="1" bottom="1" header="0.5" footer="0.5"/>
  <pageSetup paperSize="9" orientation="portrait" horizontalDpi="4294967292" verticalDpi="4294967292"/>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Acciones contrato</vt:lpstr>
      <vt:lpstr>Objetivos a 15 de julio</vt:lpstr>
      <vt:lpstr>Junio 2018</vt:lpstr>
      <vt:lpstr>Cuadro Junio 2018</vt:lpstr>
      <vt:lpstr>Abril 2018</vt:lpstr>
      <vt:lpstr>Hoja3</vt:lpstr>
      <vt:lpstr>Cuadro Abril 2018</vt:lpstr>
      <vt:lpstr>Marzo 2018</vt:lpstr>
      <vt:lpstr>Cuadro Marzo 2018</vt:lpstr>
      <vt:lpstr>Febrero 2018</vt:lpstr>
      <vt:lpstr>Cuadro Febrero 2018</vt:lpstr>
      <vt:lpstr>Objetivos ENE y FEB</vt:lpstr>
      <vt:lpstr>Enero 2018</vt:lpstr>
      <vt:lpstr>Cuadro Enero 2018</vt:lpstr>
      <vt:lpstr>Updates LNK Enero 2018</vt:lpstr>
      <vt:lpstr>Diciembre 2017</vt:lpstr>
      <vt:lpstr>Cuadro Diciembre 2017</vt:lpstr>
      <vt:lpstr>Noviembre 2017</vt:lpstr>
      <vt:lpstr>Octubre 2017</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creator>
  <cp:lastModifiedBy>Francisco Javier</cp:lastModifiedBy>
  <dcterms:created xsi:type="dcterms:W3CDTF">2016-10-10T12:34:09Z</dcterms:created>
  <dcterms:modified xsi:type="dcterms:W3CDTF">2018-07-18T10:43:26Z</dcterms:modified>
</cp:coreProperties>
</file>